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CSBSJU.EDU\HOMEDIR$\STAFF\B\BBOSTROM\My Documents\Wellspring\Financial Statement Analysis Using Ratios - June 8, 2021\"/>
    </mc:Choice>
  </mc:AlternateContent>
  <xr:revisionPtr revIDLastSave="0" documentId="13_ncr:1_{7CF7F522-B384-4865-8343-D4CE5F29E30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Quick Calculator" sheetId="8" r:id="rId1"/>
    <sheet name="2020" sheetId="7" r:id="rId2"/>
    <sheet name="2019 and 2020 Summary" sheetId="5" r:id="rId3"/>
    <sheet name="Ratios" sheetId="4" r:id="rId4"/>
    <sheet name="Data" sheetId="1" r:id="rId5"/>
    <sheet name="Final Example" sheetId="6" r:id="rId6"/>
  </sheets>
  <definedNames>
    <definedName name="_xlnm._FilterDatabase" localSheetId="1" hidden="1">'2020'!$A$1:$I$11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8" l="1"/>
  <c r="G20" i="8"/>
  <c r="F20" i="8"/>
  <c r="G18" i="8"/>
  <c r="F18" i="8"/>
  <c r="H11" i="8"/>
  <c r="G11" i="8"/>
  <c r="F11" i="8"/>
  <c r="G7" i="8"/>
  <c r="F7" i="8"/>
  <c r="B13" i="6"/>
  <c r="C13" i="6"/>
  <c r="D13" i="6"/>
  <c r="E13" i="6"/>
  <c r="B14" i="6"/>
  <c r="C14" i="6"/>
  <c r="D14" i="6"/>
  <c r="E14" i="6"/>
  <c r="B15" i="6"/>
  <c r="C15" i="6"/>
  <c r="D15" i="6"/>
  <c r="E15" i="6"/>
  <c r="B16" i="6"/>
  <c r="C16" i="6"/>
  <c r="D16" i="6"/>
  <c r="E16" i="6"/>
  <c r="B17" i="6"/>
  <c r="C17" i="6"/>
  <c r="D17" i="6"/>
  <c r="E17" i="6"/>
  <c r="B18" i="6"/>
  <c r="C18" i="6"/>
  <c r="D18" i="6"/>
  <c r="E18" i="6"/>
  <c r="B19" i="6"/>
  <c r="C19" i="6"/>
  <c r="D19" i="6"/>
  <c r="E19" i="6"/>
  <c r="B20" i="6"/>
  <c r="C20" i="6"/>
  <c r="D20" i="6"/>
  <c r="E20" i="6"/>
  <c r="C12" i="6"/>
  <c r="D12" i="6"/>
  <c r="E12" i="6"/>
  <c r="B12" i="6"/>
  <c r="U1" i="4" l="1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E1" i="4"/>
  <c r="D1" i="4"/>
  <c r="C1" i="4"/>
  <c r="B1" i="4"/>
  <c r="T22" i="4"/>
  <c r="R22" i="4"/>
  <c r="P22" i="4"/>
  <c r="N22" i="4"/>
  <c r="L22" i="4"/>
  <c r="J22" i="4"/>
  <c r="U21" i="4"/>
  <c r="T21" i="4"/>
  <c r="S21" i="4"/>
  <c r="R21" i="4"/>
  <c r="Q21" i="4"/>
  <c r="P21" i="4"/>
  <c r="O21" i="4"/>
  <c r="N21" i="4"/>
  <c r="M21" i="4"/>
  <c r="L21" i="4"/>
  <c r="K21" i="4"/>
  <c r="J21" i="4"/>
  <c r="U20" i="4"/>
  <c r="T20" i="4"/>
  <c r="S20" i="4"/>
  <c r="R20" i="4"/>
  <c r="Q20" i="4"/>
  <c r="P20" i="4"/>
  <c r="O20" i="4"/>
  <c r="N20" i="4"/>
  <c r="M20" i="4"/>
  <c r="L20" i="4"/>
  <c r="K20" i="4"/>
  <c r="J20" i="4"/>
  <c r="U19" i="4"/>
  <c r="T19" i="4"/>
  <c r="S19" i="4"/>
  <c r="R19" i="4"/>
  <c r="Q19" i="4"/>
  <c r="P19" i="4"/>
  <c r="O19" i="4"/>
  <c r="N19" i="4"/>
  <c r="M19" i="4"/>
  <c r="L19" i="4"/>
  <c r="K19" i="4"/>
  <c r="J19" i="4"/>
  <c r="U18" i="4"/>
  <c r="T18" i="4"/>
  <c r="S18" i="4"/>
  <c r="R18" i="4"/>
  <c r="Q18" i="4"/>
  <c r="P18" i="4"/>
  <c r="O18" i="4"/>
  <c r="N18" i="4"/>
  <c r="M18" i="4"/>
  <c r="L18" i="4"/>
  <c r="K18" i="4"/>
  <c r="J18" i="4"/>
  <c r="U17" i="4"/>
  <c r="T17" i="4"/>
  <c r="S17" i="4"/>
  <c r="R17" i="4"/>
  <c r="Q17" i="4"/>
  <c r="P17" i="4"/>
  <c r="O17" i="4"/>
  <c r="N17" i="4"/>
  <c r="M17" i="4"/>
  <c r="L17" i="4"/>
  <c r="K17" i="4"/>
  <c r="J17" i="4"/>
  <c r="U16" i="4"/>
  <c r="T16" i="4"/>
  <c r="S16" i="4"/>
  <c r="R16" i="4"/>
  <c r="Q16" i="4"/>
  <c r="P16" i="4"/>
  <c r="O16" i="4"/>
  <c r="N16" i="4"/>
  <c r="M16" i="4"/>
  <c r="L16" i="4"/>
  <c r="K16" i="4"/>
  <c r="J16" i="4"/>
  <c r="U12" i="4"/>
  <c r="T12" i="4"/>
  <c r="S12" i="4"/>
  <c r="R12" i="4"/>
  <c r="Q12" i="4"/>
  <c r="P12" i="4"/>
  <c r="O12" i="4"/>
  <c r="N12" i="4"/>
  <c r="M12" i="4"/>
  <c r="L12" i="4"/>
  <c r="K12" i="4"/>
  <c r="J12" i="4"/>
  <c r="U11" i="4"/>
  <c r="T11" i="4"/>
  <c r="S11" i="4"/>
  <c r="R11" i="4"/>
  <c r="Q11" i="4"/>
  <c r="P11" i="4"/>
  <c r="O11" i="4"/>
  <c r="N11" i="4"/>
  <c r="M11" i="4"/>
  <c r="L11" i="4"/>
  <c r="K11" i="4"/>
  <c r="J11" i="4"/>
  <c r="U10" i="4"/>
  <c r="T10" i="4"/>
  <c r="S10" i="4"/>
  <c r="R10" i="4"/>
  <c r="Q10" i="4"/>
  <c r="P10" i="4"/>
  <c r="O10" i="4"/>
  <c r="N10" i="4"/>
  <c r="M10" i="4"/>
  <c r="L10" i="4"/>
  <c r="K10" i="4"/>
  <c r="J10" i="4"/>
  <c r="U9" i="4"/>
  <c r="T9" i="4"/>
  <c r="S9" i="4"/>
  <c r="R9" i="4"/>
  <c r="Q9" i="4"/>
  <c r="P9" i="4"/>
  <c r="O9" i="4"/>
  <c r="N9" i="4"/>
  <c r="M9" i="4"/>
  <c r="L9" i="4"/>
  <c r="K9" i="4"/>
  <c r="J9" i="4"/>
  <c r="U8" i="4"/>
  <c r="T8" i="4"/>
  <c r="S8" i="4"/>
  <c r="R8" i="4"/>
  <c r="Q8" i="4"/>
  <c r="P8" i="4"/>
  <c r="O8" i="4"/>
  <c r="N8" i="4"/>
  <c r="M8" i="4"/>
  <c r="L8" i="4"/>
  <c r="K8" i="4"/>
  <c r="J8" i="4"/>
  <c r="U7" i="4"/>
  <c r="T7" i="4"/>
  <c r="S7" i="4"/>
  <c r="R7" i="4"/>
  <c r="Q7" i="4"/>
  <c r="P7" i="4"/>
  <c r="O7" i="4"/>
  <c r="N7" i="4"/>
  <c r="M7" i="4"/>
  <c r="L7" i="4"/>
  <c r="K7" i="4"/>
  <c r="J7" i="4"/>
  <c r="U6" i="4"/>
  <c r="T6" i="4"/>
  <c r="S6" i="4"/>
  <c r="R6" i="4"/>
  <c r="Q6" i="4"/>
  <c r="P6" i="4"/>
  <c r="O6" i="4"/>
  <c r="N6" i="4"/>
  <c r="M6" i="4"/>
  <c r="L6" i="4"/>
  <c r="K6" i="4"/>
  <c r="J6" i="4"/>
  <c r="U5" i="4"/>
  <c r="T5" i="4"/>
  <c r="S5" i="4"/>
  <c r="R5" i="4"/>
  <c r="Q5" i="4"/>
  <c r="P5" i="4"/>
  <c r="O5" i="4"/>
  <c r="N5" i="4"/>
  <c r="M5" i="4"/>
  <c r="L5" i="4"/>
  <c r="K5" i="4"/>
  <c r="J5" i="4"/>
  <c r="U4" i="4"/>
  <c r="T4" i="4"/>
  <c r="S4" i="4"/>
  <c r="R4" i="4"/>
  <c r="Q4" i="4"/>
  <c r="P4" i="4"/>
  <c r="O4" i="4"/>
  <c r="N4" i="4"/>
  <c r="M4" i="4"/>
  <c r="L4" i="4"/>
  <c r="K4" i="4"/>
  <c r="J4" i="4"/>
  <c r="U3" i="4"/>
  <c r="T3" i="4"/>
  <c r="S3" i="4"/>
  <c r="R3" i="4"/>
  <c r="Q3" i="4"/>
  <c r="P3" i="4"/>
  <c r="O3" i="4"/>
  <c r="N3" i="4"/>
  <c r="M3" i="4"/>
  <c r="L3" i="4"/>
  <c r="K3" i="4"/>
  <c r="J3" i="4"/>
  <c r="U2" i="4"/>
  <c r="T2" i="4"/>
  <c r="S2" i="4"/>
  <c r="R2" i="4"/>
  <c r="Q2" i="4"/>
  <c r="P2" i="4"/>
  <c r="O2" i="4"/>
  <c r="N2" i="4"/>
  <c r="M2" i="4"/>
  <c r="L2" i="4"/>
  <c r="K2" i="4"/>
  <c r="J2" i="4"/>
  <c r="I21" i="4"/>
  <c r="I20" i="4"/>
  <c r="I19" i="4"/>
  <c r="I18" i="4"/>
  <c r="I17" i="4"/>
  <c r="I16" i="4"/>
  <c r="I12" i="4"/>
  <c r="I11" i="4"/>
  <c r="I10" i="4"/>
  <c r="I9" i="4"/>
  <c r="I8" i="4"/>
  <c r="I7" i="4"/>
  <c r="I6" i="4"/>
  <c r="I5" i="4"/>
  <c r="I4" i="4"/>
  <c r="I3" i="4"/>
  <c r="I2" i="4"/>
  <c r="H22" i="4"/>
  <c r="H21" i="4"/>
  <c r="H20" i="4"/>
  <c r="H19" i="4"/>
  <c r="H18" i="4"/>
  <c r="H17" i="4"/>
  <c r="H16" i="4"/>
  <c r="H12" i="4"/>
  <c r="H11" i="4"/>
  <c r="H10" i="4"/>
  <c r="H9" i="4"/>
  <c r="H8" i="4"/>
  <c r="H7" i="4"/>
  <c r="H6" i="4"/>
  <c r="H5" i="4"/>
  <c r="H4" i="4"/>
  <c r="H3" i="4"/>
  <c r="H2" i="4"/>
  <c r="G21" i="4"/>
  <c r="G20" i="4"/>
  <c r="G19" i="4"/>
  <c r="G18" i="4"/>
  <c r="G17" i="4"/>
  <c r="G16" i="4"/>
  <c r="G12" i="4"/>
  <c r="G11" i="4"/>
  <c r="G10" i="4"/>
  <c r="G9" i="4"/>
  <c r="G8" i="4"/>
  <c r="G7" i="4"/>
  <c r="G6" i="4"/>
  <c r="G5" i="4"/>
  <c r="G4" i="4"/>
  <c r="G3" i="4"/>
  <c r="G2" i="4"/>
  <c r="F22" i="4"/>
  <c r="F21" i="4"/>
  <c r="F20" i="4"/>
  <c r="F19" i="4"/>
  <c r="F18" i="4"/>
  <c r="F17" i="4"/>
  <c r="F16" i="4"/>
  <c r="F12" i="4"/>
  <c r="F11" i="4"/>
  <c r="F10" i="4"/>
  <c r="F9" i="4"/>
  <c r="F8" i="4"/>
  <c r="F7" i="4"/>
  <c r="F6" i="4"/>
  <c r="F5" i="4"/>
  <c r="F4" i="4"/>
  <c r="F3" i="4"/>
  <c r="F2" i="4"/>
  <c r="E21" i="4"/>
  <c r="E20" i="4"/>
  <c r="E19" i="4"/>
  <c r="E18" i="4"/>
  <c r="E17" i="4"/>
  <c r="E16" i="4"/>
  <c r="E12" i="4"/>
  <c r="E11" i="4"/>
  <c r="E10" i="4"/>
  <c r="E9" i="4"/>
  <c r="E8" i="4"/>
  <c r="E7" i="4"/>
  <c r="E6" i="4"/>
  <c r="E5" i="4"/>
  <c r="E4" i="4"/>
  <c r="E3" i="4"/>
  <c r="E2" i="4"/>
  <c r="D22" i="4"/>
  <c r="D21" i="4"/>
  <c r="D20" i="4"/>
  <c r="D19" i="4"/>
  <c r="D18" i="4"/>
  <c r="D17" i="4"/>
  <c r="D16" i="4"/>
  <c r="D12" i="4"/>
  <c r="D11" i="4"/>
  <c r="D10" i="4"/>
  <c r="D9" i="4"/>
  <c r="D8" i="4"/>
  <c r="D7" i="4"/>
  <c r="D6" i="4"/>
  <c r="D5" i="4"/>
  <c r="D4" i="4"/>
  <c r="D3" i="4"/>
  <c r="D2" i="4"/>
  <c r="C21" i="4"/>
  <c r="C20" i="4"/>
  <c r="C19" i="4"/>
  <c r="C18" i="4"/>
  <c r="C17" i="4"/>
  <c r="C16" i="4"/>
  <c r="C12" i="4"/>
  <c r="C11" i="4"/>
  <c r="C10" i="4"/>
  <c r="C9" i="4"/>
  <c r="C8" i="4"/>
  <c r="C7" i="4"/>
  <c r="C6" i="4"/>
  <c r="C5" i="4"/>
  <c r="C4" i="4"/>
  <c r="C3" i="4"/>
  <c r="C2" i="4"/>
  <c r="B4" i="4"/>
  <c r="B3" i="4"/>
  <c r="B2" i="4"/>
  <c r="U19" i="1"/>
  <c r="V19" i="1"/>
  <c r="T19" i="1"/>
  <c r="T18" i="1"/>
  <c r="U12" i="1"/>
  <c r="T12" i="1"/>
  <c r="V11" i="1"/>
  <c r="U11" i="1"/>
  <c r="T11" i="1"/>
  <c r="AE19" i="1"/>
  <c r="AD19" i="1"/>
  <c r="AC19" i="1"/>
  <c r="AD18" i="1"/>
  <c r="AC18" i="1"/>
  <c r="AE11" i="1"/>
  <c r="AD11" i="1"/>
  <c r="AC11" i="1"/>
  <c r="AD6" i="1"/>
  <c r="AD7" i="1" s="1"/>
  <c r="AC6" i="1"/>
  <c r="AC7" i="1" s="1"/>
  <c r="AA18" i="1"/>
  <c r="Z18" i="1"/>
  <c r="AA11" i="1"/>
  <c r="AB11" i="1"/>
  <c r="Z11" i="1"/>
  <c r="AA6" i="1"/>
  <c r="AA7" i="1" s="1"/>
  <c r="Z6" i="1"/>
  <c r="Z7" i="1" s="1"/>
  <c r="AB20" i="1"/>
  <c r="AA20" i="1"/>
  <c r="Z20" i="1"/>
  <c r="X19" i="1"/>
  <c r="Y19" i="1"/>
  <c r="W19" i="1"/>
  <c r="W18" i="1"/>
  <c r="X18" i="1"/>
  <c r="Y11" i="1"/>
  <c r="X11" i="1"/>
  <c r="W11" i="1"/>
  <c r="X7" i="1"/>
  <c r="W7" i="1"/>
  <c r="U7" i="1"/>
  <c r="T7" i="1"/>
  <c r="S20" i="1"/>
  <c r="R18" i="1"/>
  <c r="Q18" i="1"/>
  <c r="R20" i="1"/>
  <c r="Q20" i="1"/>
  <c r="R7" i="1"/>
  <c r="Q7" i="1"/>
  <c r="O18" i="1"/>
  <c r="N18" i="1"/>
  <c r="O12" i="1"/>
  <c r="N12" i="1"/>
  <c r="P11" i="1"/>
  <c r="O11" i="1"/>
  <c r="N11" i="1"/>
  <c r="B5" i="4"/>
  <c r="B8" i="4"/>
  <c r="B9" i="4"/>
  <c r="B10" i="4"/>
  <c r="B11" i="4"/>
  <c r="B16" i="4"/>
  <c r="B17" i="4"/>
  <c r="B19" i="4"/>
  <c r="B20" i="4"/>
  <c r="P20" i="1"/>
  <c r="O20" i="1"/>
  <c r="N20" i="1"/>
  <c r="O7" i="1"/>
  <c r="N7" i="1"/>
  <c r="M20" i="1"/>
  <c r="L20" i="1"/>
  <c r="K20" i="1"/>
  <c r="L18" i="1"/>
  <c r="K18" i="1"/>
  <c r="L7" i="1"/>
  <c r="K7" i="1"/>
  <c r="I18" i="1"/>
  <c r="H18" i="1"/>
  <c r="J20" i="1"/>
  <c r="I20" i="1"/>
  <c r="H20" i="1"/>
  <c r="J11" i="1"/>
  <c r="I11" i="1"/>
  <c r="H11" i="1"/>
  <c r="I7" i="1"/>
  <c r="H7" i="1"/>
  <c r="F20" i="1"/>
  <c r="G20" i="1"/>
  <c r="E20" i="1"/>
  <c r="G11" i="1"/>
  <c r="F11" i="1"/>
  <c r="E11" i="1"/>
  <c r="F7" i="1"/>
  <c r="E7" i="1"/>
  <c r="D20" i="1"/>
  <c r="C20" i="1"/>
  <c r="B20" i="1"/>
  <c r="C11" i="1"/>
  <c r="D11" i="1"/>
  <c r="B11" i="1"/>
  <c r="B6" i="4" s="1"/>
  <c r="B18" i="1"/>
  <c r="B12" i="4" s="1"/>
  <c r="B7" i="1"/>
  <c r="B7" i="4" s="1"/>
  <c r="C18" i="1"/>
  <c r="B18" i="4" l="1"/>
  <c r="B22" i="4"/>
  <c r="B21" i="4"/>
  <c r="C7" i="1"/>
</calcChain>
</file>

<file path=xl/sharedStrings.xml><?xml version="1.0" encoding="utf-8"?>
<sst xmlns="http://schemas.openxmlformats.org/spreadsheetml/2006/main" count="220" uniqueCount="68">
  <si>
    <t>Gross margin ratio</t>
  </si>
  <si>
    <t>Profit margin</t>
  </si>
  <si>
    <t>Return on assets</t>
  </si>
  <si>
    <t>Return on equity</t>
  </si>
  <si>
    <t>Debt-equity</t>
  </si>
  <si>
    <t>Current ratio</t>
  </si>
  <si>
    <t>Days receivables</t>
  </si>
  <si>
    <t>Days inventories</t>
  </si>
  <si>
    <t>Asset Turnover</t>
  </si>
  <si>
    <t>% Change in Net income</t>
  </si>
  <si>
    <t>% Change in Revenues</t>
  </si>
  <si>
    <t>Net Income</t>
  </si>
  <si>
    <t>Revenues</t>
  </si>
  <si>
    <t>Gross Margin</t>
  </si>
  <si>
    <t>Stockholders Equity</t>
  </si>
  <si>
    <t>Receivables</t>
  </si>
  <si>
    <t>COGS</t>
  </si>
  <si>
    <t>Inventories</t>
  </si>
  <si>
    <t>Current Assets</t>
  </si>
  <si>
    <t>Current Liabilities</t>
  </si>
  <si>
    <t>Total Liabilities</t>
  </si>
  <si>
    <t>Total Assets</t>
  </si>
  <si>
    <t>TGT</t>
  </si>
  <si>
    <t>3M</t>
  </si>
  <si>
    <t>UNH</t>
  </si>
  <si>
    <t>MMM</t>
  </si>
  <si>
    <t>ECL</t>
  </si>
  <si>
    <t>Target</t>
  </si>
  <si>
    <t>Ecolab</t>
  </si>
  <si>
    <t>Xcel Energy</t>
  </si>
  <si>
    <t>XEL</t>
  </si>
  <si>
    <t>Leverage Ratio</t>
  </si>
  <si>
    <t>N/A</t>
  </si>
  <si>
    <t>Apple</t>
  </si>
  <si>
    <t>Amazon</t>
  </si>
  <si>
    <t>AT&amp;T</t>
  </si>
  <si>
    <t>AAPL</t>
  </si>
  <si>
    <t>AMZN</t>
  </si>
  <si>
    <t>Technology</t>
  </si>
  <si>
    <t>T</t>
  </si>
  <si>
    <t>OI % of Sales</t>
  </si>
  <si>
    <t>Company</t>
  </si>
  <si>
    <t>Market Price</t>
  </si>
  <si>
    <t>% Change in EPS</t>
  </si>
  <si>
    <t>Operating Income</t>
  </si>
  <si>
    <t>Debt</t>
  </si>
  <si>
    <t>Depr/Amort</t>
  </si>
  <si>
    <t>Others:</t>
  </si>
  <si>
    <t>PE Ratio</t>
  </si>
  <si>
    <t>Huge asset impairment</t>
  </si>
  <si>
    <t>BA</t>
  </si>
  <si>
    <t>AR excludes unbilled rec.</t>
  </si>
  <si>
    <t>Equity includes redeemable int</t>
  </si>
  <si>
    <t>HRL</t>
  </si>
  <si>
    <t>Avg Basic Shares Outstanding</t>
  </si>
  <si>
    <t>Basic EPS</t>
  </si>
  <si>
    <t>Boeing</t>
  </si>
  <si>
    <t>Hormel</t>
  </si>
  <si>
    <t>UnitedHealth</t>
  </si>
  <si>
    <t>Dec. 31, 2020</t>
  </si>
  <si>
    <t>Total net sales</t>
  </si>
  <si>
    <t>Cost of sales</t>
  </si>
  <si>
    <t>Fulfillment</t>
  </si>
  <si>
    <t>Marketing</t>
  </si>
  <si>
    <t>G&amp;A</t>
  </si>
  <si>
    <t>Other Expenses</t>
  </si>
  <si>
    <t>Income from operations</t>
  </si>
  <si>
    <t>Net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</si>
</sst>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1" applyNumberFormat="1" applyFont="1" applyBorder="1"/>
    <xf numFmtId="43" fontId="0" fillId="0" borderId="0" xfId="2" applyNumberFormat="1" applyFont="1" applyBorder="1"/>
    <xf numFmtId="165" fontId="0" fillId="0" borderId="0" xfId="2" applyNumberFormat="1" applyFont="1" applyBorder="1"/>
    <xf numFmtId="43" fontId="0" fillId="0" borderId="0" xfId="2" applyFont="1" applyBorder="1"/>
    <xf numFmtId="0" fontId="2" fillId="0" borderId="1" xfId="0" applyFont="1" applyBorder="1" applyAlignment="1">
      <alignment horizont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Border="1"/>
    <xf numFmtId="0" fontId="0" fillId="0" borderId="0" xfId="0" applyFont="1" applyBorder="1" applyAlignment="1">
      <alignment vertical="top"/>
    </xf>
    <xf numFmtId="166" fontId="0" fillId="0" borderId="0" xfId="2" applyNumberFormat="1" applyFont="1" applyBorder="1"/>
    <xf numFmtId="16" fontId="0" fillId="0" borderId="0" xfId="0" applyNumberFormat="1" applyBorder="1" applyAlignment="1">
      <alignment horizontal="center"/>
    </xf>
    <xf numFmtId="0" fontId="0" fillId="0" borderId="0" xfId="0" applyBorder="1" applyAlignment="1"/>
    <xf numFmtId="16" fontId="0" fillId="0" borderId="0" xfId="0" applyNumberFormat="1" applyBorder="1" applyAlignment="1"/>
    <xf numFmtId="0" fontId="0" fillId="0" borderId="0" xfId="0" applyFill="1" applyBorder="1" applyAlignment="1"/>
    <xf numFmtId="166" fontId="0" fillId="2" borderId="0" xfId="2" applyNumberFormat="1" applyFont="1" applyFill="1" applyBorder="1" applyAlignment="1"/>
    <xf numFmtId="166" fontId="0" fillId="0" borderId="0" xfId="2" applyNumberFormat="1" applyFont="1" applyFill="1" applyBorder="1" applyAlignment="1"/>
    <xf numFmtId="43" fontId="0" fillId="0" borderId="0" xfId="2" applyFont="1" applyFill="1" applyBorder="1" applyAlignment="1"/>
    <xf numFmtId="8" fontId="0" fillId="0" borderId="0" xfId="2" applyNumberFormat="1" applyFont="1" applyFill="1" applyBorder="1" applyAlignment="1"/>
    <xf numFmtId="43" fontId="0" fillId="2" borderId="0" xfId="2" applyFont="1" applyFill="1" applyBorder="1" applyAlignment="1"/>
    <xf numFmtId="43" fontId="0" fillId="0" borderId="0" xfId="2" applyFont="1" applyBorder="1" applyAlignment="1"/>
    <xf numFmtId="165" fontId="0" fillId="0" borderId="0" xfId="2" applyNumberFormat="1" applyFont="1" applyBorder="1" applyAlignment="1"/>
    <xf numFmtId="166" fontId="0" fillId="0" borderId="0" xfId="0" applyNumberFormat="1" applyBorder="1" applyAlignment="1"/>
    <xf numFmtId="0" fontId="0" fillId="0" borderId="1" xfId="0" applyBorder="1"/>
    <xf numFmtId="164" fontId="2" fillId="0" borderId="1" xfId="1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65" fontId="3" fillId="0" borderId="1" xfId="2" applyNumberFormat="1" applyFont="1" applyBorder="1" applyAlignment="1">
      <alignment horizontal="center"/>
    </xf>
    <xf numFmtId="43" fontId="3" fillId="0" borderId="1" xfId="2" applyFont="1" applyBorder="1" applyAlignment="1">
      <alignment horizontal="center"/>
    </xf>
    <xf numFmtId="166" fontId="2" fillId="0" borderId="0" xfId="2" applyNumberFormat="1" applyFont="1"/>
    <xf numFmtId="164" fontId="2" fillId="0" borderId="0" xfId="1" applyNumberFormat="1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24131-166E-48D4-B025-6CEA81D95CAE}">
  <dimension ref="A1:H21"/>
  <sheetViews>
    <sheetView tabSelected="1" zoomScale="90" zoomScaleNormal="90" workbookViewId="0">
      <selection activeCell="N1" sqref="N1"/>
    </sheetView>
  </sheetViews>
  <sheetFormatPr defaultRowHeight="14.5" x14ac:dyDescent="0.35"/>
  <cols>
    <col min="1" max="1" width="20" bestFit="1" customWidth="1"/>
    <col min="5" max="5" width="25.453125" bestFit="1" customWidth="1"/>
  </cols>
  <sheetData>
    <row r="1" spans="1:8" x14ac:dyDescent="0.35">
      <c r="A1" s="7"/>
      <c r="B1" s="11" t="s">
        <v>23</v>
      </c>
      <c r="C1" s="11" t="s">
        <v>23</v>
      </c>
      <c r="E1" s="11"/>
      <c r="F1" s="11" t="s">
        <v>23</v>
      </c>
      <c r="G1" s="11" t="s">
        <v>23</v>
      </c>
      <c r="H1" s="11" t="s">
        <v>23</v>
      </c>
    </row>
    <row r="2" spans="1:8" x14ac:dyDescent="0.35">
      <c r="A2" s="11"/>
      <c r="B2" s="11" t="s">
        <v>25</v>
      </c>
      <c r="C2" s="11" t="s">
        <v>25</v>
      </c>
      <c r="E2" s="11"/>
      <c r="F2" s="11" t="s">
        <v>25</v>
      </c>
      <c r="G2" s="11" t="s">
        <v>25</v>
      </c>
      <c r="H2" s="11" t="s">
        <v>25</v>
      </c>
    </row>
    <row r="3" spans="1:8" x14ac:dyDescent="0.35">
      <c r="A3" s="7"/>
      <c r="B3" s="10">
        <v>44561</v>
      </c>
      <c r="C3" s="10">
        <v>44561</v>
      </c>
      <c r="E3" s="11"/>
      <c r="F3" s="12">
        <v>44561</v>
      </c>
      <c r="G3" s="12">
        <v>44561</v>
      </c>
      <c r="H3" s="12">
        <v>44561</v>
      </c>
    </row>
    <row r="4" spans="1:8" x14ac:dyDescent="0.35">
      <c r="A4" s="7"/>
      <c r="B4" s="7">
        <v>2020</v>
      </c>
      <c r="C4" s="7">
        <v>2019</v>
      </c>
      <c r="E4" s="11"/>
      <c r="F4" s="11">
        <v>2020</v>
      </c>
      <c r="G4" s="13">
        <v>2019</v>
      </c>
      <c r="H4" s="13">
        <v>2018</v>
      </c>
    </row>
    <row r="5" spans="1:8" x14ac:dyDescent="0.35">
      <c r="A5" s="8" t="s">
        <v>10</v>
      </c>
      <c r="B5" s="1">
        <v>1.4936519790888724E-3</v>
      </c>
      <c r="C5" s="1">
        <v>-1.9197314207233328E-2</v>
      </c>
      <c r="E5" s="11" t="s">
        <v>12</v>
      </c>
      <c r="F5" s="14">
        <v>32184</v>
      </c>
      <c r="G5" s="14">
        <v>32136</v>
      </c>
      <c r="H5" s="14">
        <v>32765</v>
      </c>
    </row>
    <row r="6" spans="1:8" x14ac:dyDescent="0.35">
      <c r="A6" s="7" t="s">
        <v>43</v>
      </c>
      <c r="B6" s="1">
        <v>0.17689435497069286</v>
      </c>
      <c r="C6" s="1">
        <v>-0.12860662013308174</v>
      </c>
      <c r="E6" s="11" t="s">
        <v>16</v>
      </c>
      <c r="F6" s="14">
        <v>16605</v>
      </c>
      <c r="G6" s="14">
        <v>17136</v>
      </c>
      <c r="H6" s="15"/>
    </row>
    <row r="7" spans="1:8" x14ac:dyDescent="0.35">
      <c r="A7" s="8" t="s">
        <v>0</v>
      </c>
      <c r="B7" s="1">
        <v>0.48406040268456374</v>
      </c>
      <c r="C7" s="1">
        <v>0.46676624346527257</v>
      </c>
      <c r="E7" s="11" t="s">
        <v>13</v>
      </c>
      <c r="F7" s="15">
        <f>F5-F6</f>
        <v>15579</v>
      </c>
      <c r="G7" s="15">
        <f>G5-G6</f>
        <v>15000</v>
      </c>
      <c r="H7" s="15"/>
    </row>
    <row r="8" spans="1:8" x14ac:dyDescent="0.35">
      <c r="A8" s="7" t="s">
        <v>40</v>
      </c>
      <c r="B8" s="1">
        <v>0.22250186428038776</v>
      </c>
      <c r="C8" s="1">
        <v>0.19212098581030621</v>
      </c>
      <c r="E8" s="11" t="s">
        <v>44</v>
      </c>
      <c r="F8" s="14">
        <v>7161</v>
      </c>
      <c r="G8" s="14">
        <v>6174</v>
      </c>
      <c r="H8" s="15"/>
    </row>
    <row r="9" spans="1:8" x14ac:dyDescent="0.35">
      <c r="A9" s="8" t="s">
        <v>6</v>
      </c>
      <c r="B9" s="3">
        <v>53.847253293562019</v>
      </c>
      <c r="C9" s="3">
        <v>55.716563978093106</v>
      </c>
      <c r="E9" s="11" t="s">
        <v>11</v>
      </c>
      <c r="F9" s="14">
        <v>5384</v>
      </c>
      <c r="G9" s="14">
        <v>4570</v>
      </c>
      <c r="H9" s="14">
        <v>5349</v>
      </c>
    </row>
    <row r="10" spans="1:8" x14ac:dyDescent="0.35">
      <c r="A10" s="8" t="s">
        <v>7</v>
      </c>
      <c r="B10" s="3">
        <v>92.024841915085815</v>
      </c>
      <c r="C10" s="3">
        <v>90.525793650793645</v>
      </c>
      <c r="E10" s="11" t="s">
        <v>54</v>
      </c>
      <c r="F10" s="14">
        <v>577.6</v>
      </c>
      <c r="G10" s="14">
        <v>577</v>
      </c>
      <c r="H10" s="14">
        <v>588.5</v>
      </c>
    </row>
    <row r="11" spans="1:8" x14ac:dyDescent="0.35">
      <c r="A11" s="8" t="s">
        <v>5</v>
      </c>
      <c r="B11" s="4">
        <v>1.885002516356316</v>
      </c>
      <c r="C11" s="4">
        <v>1.4065278681414011</v>
      </c>
      <c r="E11" s="13" t="s">
        <v>55</v>
      </c>
      <c r="F11" s="16">
        <f>F9/F10</f>
        <v>9.3213296398891963</v>
      </c>
      <c r="G11" s="16">
        <f t="shared" ref="G11:H11" si="0">G9/G10</f>
        <v>7.9202772963604851</v>
      </c>
      <c r="H11" s="16">
        <f t="shared" si="0"/>
        <v>9.0892098555649952</v>
      </c>
    </row>
    <row r="12" spans="1:8" x14ac:dyDescent="0.35">
      <c r="A12" s="6" t="s">
        <v>31</v>
      </c>
      <c r="B12" s="3">
        <v>2.0717592592592591</v>
      </c>
      <c r="C12" s="3">
        <v>2.6152954808806488</v>
      </c>
      <c r="E12" s="11" t="s">
        <v>46</v>
      </c>
      <c r="F12" s="14">
        <v>1911</v>
      </c>
      <c r="G12" s="14">
        <v>1593</v>
      </c>
      <c r="H12" s="15"/>
    </row>
    <row r="13" spans="1:8" x14ac:dyDescent="0.35">
      <c r="E13" s="11" t="s">
        <v>15</v>
      </c>
      <c r="F13" s="14">
        <v>4705</v>
      </c>
      <c r="G13" s="14">
        <v>4791</v>
      </c>
      <c r="H13" s="14">
        <v>5020</v>
      </c>
    </row>
    <row r="14" spans="1:8" x14ac:dyDescent="0.35">
      <c r="E14" s="11" t="s">
        <v>17</v>
      </c>
      <c r="F14" s="14">
        <v>4239</v>
      </c>
      <c r="G14" s="14">
        <v>4134</v>
      </c>
      <c r="H14" s="14">
        <v>4366</v>
      </c>
    </row>
    <row r="15" spans="1:8" x14ac:dyDescent="0.35">
      <c r="E15" s="11" t="s">
        <v>18</v>
      </c>
      <c r="F15" s="14">
        <v>14982</v>
      </c>
      <c r="G15" s="14">
        <v>12971</v>
      </c>
      <c r="H15" s="15"/>
    </row>
    <row r="16" spans="1:8" x14ac:dyDescent="0.35">
      <c r="E16" s="11" t="s">
        <v>21</v>
      </c>
      <c r="F16" s="14">
        <v>47344</v>
      </c>
      <c r="G16" s="14">
        <v>44659</v>
      </c>
      <c r="H16" s="14">
        <v>36500</v>
      </c>
    </row>
    <row r="17" spans="5:8" x14ac:dyDescent="0.35">
      <c r="E17" s="11" t="s">
        <v>19</v>
      </c>
      <c r="F17" s="14">
        <v>7948</v>
      </c>
      <c r="G17" s="14">
        <v>9222</v>
      </c>
      <c r="H17" s="15"/>
    </row>
    <row r="18" spans="5:8" x14ac:dyDescent="0.35">
      <c r="E18" s="11" t="s">
        <v>45</v>
      </c>
      <c r="F18" s="14">
        <f>806+17989</f>
        <v>18795</v>
      </c>
      <c r="G18" s="14">
        <f>2795+17518</f>
        <v>20313</v>
      </c>
      <c r="H18" s="15"/>
    </row>
    <row r="19" spans="5:8" x14ac:dyDescent="0.35">
      <c r="E19" s="11" t="s">
        <v>20</v>
      </c>
      <c r="F19" s="14">
        <v>34413</v>
      </c>
      <c r="G19" s="14">
        <v>34533</v>
      </c>
      <c r="H19" s="14">
        <v>26652</v>
      </c>
    </row>
    <row r="20" spans="5:8" x14ac:dyDescent="0.35">
      <c r="E20" s="11" t="s">
        <v>14</v>
      </c>
      <c r="F20" s="15">
        <f>F16-F19</f>
        <v>12931</v>
      </c>
      <c r="G20" s="15">
        <f>G16-G19</f>
        <v>10126</v>
      </c>
      <c r="H20" s="15">
        <f>H16-H19</f>
        <v>9848</v>
      </c>
    </row>
    <row r="21" spans="5:8" x14ac:dyDescent="0.35">
      <c r="E21" s="11" t="s">
        <v>42</v>
      </c>
      <c r="F21" s="18">
        <v>203.73</v>
      </c>
      <c r="G21" s="16"/>
      <c r="H21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29E10-958B-4055-9373-CD82E93D63A8}">
  <dimension ref="A1:L12"/>
  <sheetViews>
    <sheetView workbookViewId="0">
      <selection activeCell="A2" sqref="A2"/>
    </sheetView>
  </sheetViews>
  <sheetFormatPr defaultColWidth="19.6328125" defaultRowHeight="14.5" x14ac:dyDescent="0.35"/>
  <cols>
    <col min="1" max="1" width="15.54296875" style="22" bestFit="1" customWidth="1"/>
    <col min="2" max="2" width="18.36328125" style="22" bestFit="1" customWidth="1"/>
    <col min="3" max="3" width="22.81640625" style="22" bestFit="1" customWidth="1"/>
    <col min="4" max="4" width="19.54296875" style="22" bestFit="1" customWidth="1"/>
    <col min="5" max="5" width="19" style="22" bestFit="1" customWidth="1"/>
    <col min="6" max="7" width="23.26953125" style="22" bestFit="1" customWidth="1"/>
    <col min="8" max="8" width="19.36328125" style="22" bestFit="1" customWidth="1"/>
    <col min="9" max="9" width="21.26953125" style="22" bestFit="1" customWidth="1"/>
    <col min="10" max="16384" width="19.6328125" style="22"/>
  </cols>
  <sheetData>
    <row r="1" spans="1:12" ht="37" x14ac:dyDescent="0.45">
      <c r="A1" s="26" t="s">
        <v>41</v>
      </c>
      <c r="B1" s="27" t="s">
        <v>10</v>
      </c>
      <c r="C1" s="27" t="s">
        <v>43</v>
      </c>
      <c r="D1" s="27" t="s">
        <v>0</v>
      </c>
      <c r="E1" s="27" t="s">
        <v>40</v>
      </c>
      <c r="F1" s="27" t="s">
        <v>6</v>
      </c>
      <c r="G1" s="27" t="s">
        <v>7</v>
      </c>
      <c r="H1" s="27" t="s">
        <v>5</v>
      </c>
      <c r="I1" s="28" t="s">
        <v>31</v>
      </c>
      <c r="L1" s="5"/>
    </row>
    <row r="2" spans="1:12" ht="18.5" x14ac:dyDescent="0.45">
      <c r="A2" s="26" t="s">
        <v>34</v>
      </c>
      <c r="B2" s="29">
        <v>0.37623430604373276</v>
      </c>
      <c r="C2" s="29">
        <v>0.81869416637901271</v>
      </c>
      <c r="D2" s="29">
        <v>0.3956779186870571</v>
      </c>
      <c r="E2" s="29">
        <v>5.9313999751336569E-2</v>
      </c>
      <c r="F2" s="30">
        <v>22.236727589208005</v>
      </c>
      <c r="G2" s="30">
        <v>34.646581542774115</v>
      </c>
      <c r="H2" s="31">
        <v>1.0502274795268425</v>
      </c>
      <c r="I2" s="30">
        <v>0.66076843198338531</v>
      </c>
      <c r="L2" s="23"/>
    </row>
    <row r="3" spans="1:12" ht="18.5" x14ac:dyDescent="0.45">
      <c r="A3" s="26" t="s">
        <v>27</v>
      </c>
      <c r="B3" s="29">
        <v>0.19778011061040557</v>
      </c>
      <c r="C3" s="29">
        <v>0.35869337167237147</v>
      </c>
      <c r="D3" s="29">
        <v>0.29268605508705553</v>
      </c>
      <c r="E3" s="29">
        <v>6.989023204112825E-2</v>
      </c>
      <c r="F3" s="30" t="s">
        <v>32</v>
      </c>
      <c r="G3" s="30">
        <v>54.176111035556161</v>
      </c>
      <c r="H3" s="31">
        <v>1.0313540372670806</v>
      </c>
      <c r="I3" s="30">
        <v>1.4051418439716312</v>
      </c>
      <c r="L3" s="23"/>
    </row>
    <row r="4" spans="1:12" ht="18.5" x14ac:dyDescent="0.45">
      <c r="A4" s="26" t="s">
        <v>58</v>
      </c>
      <c r="B4" s="29">
        <v>6.1885982118890792E-2</v>
      </c>
      <c r="C4" s="29">
        <v>0.11535960246127167</v>
      </c>
      <c r="D4" s="29">
        <v>0.26055743735926984</v>
      </c>
      <c r="E4" s="29">
        <v>8.7131184836334932E-2</v>
      </c>
      <c r="F4" s="30">
        <v>17.524587677577671</v>
      </c>
      <c r="G4" s="30" t="s">
        <v>32</v>
      </c>
      <c r="H4" s="31">
        <v>0.74175642087821048</v>
      </c>
      <c r="I4" s="30">
        <v>1.7183349146110056</v>
      </c>
      <c r="L4" s="23"/>
    </row>
    <row r="5" spans="1:12" ht="18.5" x14ac:dyDescent="0.45">
      <c r="A5" s="26" t="s">
        <v>33</v>
      </c>
      <c r="B5" s="29">
        <v>5.5120803769784836E-2</v>
      </c>
      <c r="C5" s="29">
        <v>0.10600359315854316</v>
      </c>
      <c r="D5" s="29">
        <v>0.38233247727810865</v>
      </c>
      <c r="E5" s="29">
        <v>0.24147314354406862</v>
      </c>
      <c r="F5" s="30">
        <v>25.958126149755024</v>
      </c>
      <c r="G5" s="30">
        <v>8.7903178244740765</v>
      </c>
      <c r="H5" s="31">
        <v>1.3636044481554577</v>
      </c>
      <c r="I5" s="30">
        <v>1.3891187422424494</v>
      </c>
      <c r="L5" s="23"/>
    </row>
    <row r="6" spans="1:12" ht="18.5" x14ac:dyDescent="0.45">
      <c r="A6" s="26" t="s">
        <v>57</v>
      </c>
      <c r="B6" s="29">
        <v>1.1702778795316613E-2</v>
      </c>
      <c r="C6" s="29">
        <v>-7.8168382224899219E-2</v>
      </c>
      <c r="D6" s="29">
        <v>0.19003707357119173</v>
      </c>
      <c r="E6" s="29">
        <v>0.11450531833294444</v>
      </c>
      <c r="F6" s="30">
        <v>24.251408550088453</v>
      </c>
      <c r="G6" s="30">
        <v>49.599772463802751</v>
      </c>
      <c r="H6" s="31">
        <v>2.3797515234729532</v>
      </c>
      <c r="I6" s="30">
        <v>0.9981822372264646</v>
      </c>
      <c r="L6" s="23"/>
    </row>
    <row r="7" spans="1:12" ht="18.5" x14ac:dyDescent="0.45">
      <c r="A7" s="26" t="s">
        <v>23</v>
      </c>
      <c r="B7" s="29">
        <v>1.4936519790888724E-3</v>
      </c>
      <c r="C7" s="29">
        <v>0.17689435497069286</v>
      </c>
      <c r="D7" s="29">
        <v>0.48406040268456374</v>
      </c>
      <c r="E7" s="29">
        <v>0.22250186428038776</v>
      </c>
      <c r="F7" s="30">
        <v>53.847253293562019</v>
      </c>
      <c r="G7" s="30">
        <v>92.024841915085815</v>
      </c>
      <c r="H7" s="31">
        <v>1.885002516356316</v>
      </c>
      <c r="I7" s="30">
        <v>2.0717592592592591</v>
      </c>
      <c r="L7" s="23"/>
    </row>
    <row r="8" spans="1:12" ht="18.5" x14ac:dyDescent="0.45">
      <c r="A8" s="26" t="s">
        <v>29</v>
      </c>
      <c r="B8" s="29">
        <v>-2.6021337496747333E-4</v>
      </c>
      <c r="C8" s="29">
        <v>5.7317397004884821E-2</v>
      </c>
      <c r="D8" s="29">
        <v>0.63230956099253866</v>
      </c>
      <c r="E8" s="29">
        <v>0.18358493840013881</v>
      </c>
      <c r="F8" s="30">
        <v>27.756593787957659</v>
      </c>
      <c r="G8" s="30">
        <v>46.464723926380366</v>
      </c>
      <c r="H8" s="31">
        <v>0.77258787449870248</v>
      </c>
      <c r="I8" s="30">
        <v>5.0674846625766872</v>
      </c>
      <c r="L8" s="23"/>
    </row>
    <row r="9" spans="1:12" ht="18.5" x14ac:dyDescent="0.45">
      <c r="A9" s="26" t="s">
        <v>35</v>
      </c>
      <c r="B9" s="29">
        <v>-5.2060510063854565E-2</v>
      </c>
      <c r="C9" s="29">
        <v>-1.3947368421052633</v>
      </c>
      <c r="D9" s="29">
        <v>0.80840125756870052</v>
      </c>
      <c r="E9" s="29">
        <v>3.7290405216581279E-2</v>
      </c>
      <c r="F9" s="30">
        <v>45.53043490917559</v>
      </c>
      <c r="G9" s="30" t="s">
        <v>32</v>
      </c>
      <c r="H9" s="31">
        <v>0.81982408020429398</v>
      </c>
      <c r="I9" s="30">
        <v>4.5028779244580628</v>
      </c>
      <c r="L9" s="23"/>
    </row>
    <row r="10" spans="1:12" ht="18.5" x14ac:dyDescent="0.45">
      <c r="A10" s="26" t="s">
        <v>28</v>
      </c>
      <c r="B10" s="29">
        <v>-6.1439261264129859E-2</v>
      </c>
      <c r="C10" s="29">
        <v>-0.31880765651090848</v>
      </c>
      <c r="D10" s="29">
        <v>0.41427626333734796</v>
      </c>
      <c r="E10" s="29">
        <v>0.1183779749283303</v>
      </c>
      <c r="F10" s="30">
        <v>72.066928466014147</v>
      </c>
      <c r="G10" s="30">
        <v>62.547568710359414</v>
      </c>
      <c r="H10" s="31">
        <v>1.7452424800491098</v>
      </c>
      <c r="I10" s="30">
        <v>3.0278029342510413</v>
      </c>
      <c r="L10" s="23"/>
    </row>
    <row r="11" spans="1:12" ht="18.5" x14ac:dyDescent="0.45">
      <c r="A11" s="26" t="s">
        <v>56</v>
      </c>
      <c r="B11" s="29">
        <v>-0.24035057929178802</v>
      </c>
      <c r="C11" s="29">
        <v>17.642857142857139</v>
      </c>
      <c r="D11" s="29">
        <v>-9.7750954296915299E-2</v>
      </c>
      <c r="E11" s="29">
        <v>-0.21952267959696001</v>
      </c>
      <c r="F11" s="30">
        <v>16.383515595446887</v>
      </c>
      <c r="G11" s="30">
        <v>452.61818053662893</v>
      </c>
      <c r="H11" s="31">
        <v>1.393698441796517</v>
      </c>
      <c r="I11" s="30">
        <v>-6.0434369356525046</v>
      </c>
      <c r="L11" s="23"/>
    </row>
    <row r="12" spans="1:12" x14ac:dyDescent="0.35">
      <c r="A12" s="25"/>
      <c r="B12" s="25"/>
      <c r="C12" s="25"/>
      <c r="D12" s="25"/>
      <c r="E12" s="25"/>
      <c r="F12" s="25"/>
      <c r="G12" s="25"/>
      <c r="H12" s="25"/>
      <c r="I12" s="25"/>
    </row>
  </sheetData>
  <autoFilter ref="A1:I11" xr:uid="{FF681F9A-4BE9-4693-8C93-44B8225EDEA4}">
    <sortState xmlns:xlrd2="http://schemas.microsoft.com/office/spreadsheetml/2017/richdata2" ref="A2:I11">
      <sortCondition descending="1" ref="B1:B1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58FF-AAB0-427A-8B55-E0FBE7FAC4D9}">
  <dimension ref="A1:U13"/>
  <sheetViews>
    <sheetView workbookViewId="0">
      <selection activeCell="E19" sqref="E19"/>
    </sheetView>
  </sheetViews>
  <sheetFormatPr defaultRowHeight="14.5" x14ac:dyDescent="0.35"/>
  <cols>
    <col min="1" max="1" width="21.08984375" style="7" bestFit="1" customWidth="1"/>
    <col min="2" max="3" width="6.54296875" style="7" bestFit="1" customWidth="1"/>
    <col min="4" max="4" width="7.6328125" style="7" bestFit="1" customWidth="1"/>
    <col min="5" max="5" width="7.6328125" bestFit="1" customWidth="1"/>
    <col min="6" max="7" width="6.453125" bestFit="1" customWidth="1"/>
    <col min="8" max="8" width="7.453125" bestFit="1" customWidth="1"/>
    <col min="9" max="9" width="7.1796875" bestFit="1" customWidth="1"/>
    <col min="10" max="11" width="6.54296875" bestFit="1" customWidth="1"/>
    <col min="12" max="12" width="7.81640625" bestFit="1" customWidth="1"/>
    <col min="13" max="13" width="7.453125" bestFit="1" customWidth="1"/>
    <col min="14" max="15" width="7" bestFit="1" customWidth="1"/>
    <col min="16" max="17" width="7.1796875" bestFit="1" customWidth="1"/>
    <col min="18" max="19" width="11.81640625" bestFit="1" customWidth="1"/>
    <col min="20" max="21" width="10.1796875" bestFit="1" customWidth="1"/>
  </cols>
  <sheetData>
    <row r="1" spans="1:21" x14ac:dyDescent="0.35">
      <c r="B1" s="11" t="s">
        <v>23</v>
      </c>
      <c r="C1" s="11" t="s">
        <v>23</v>
      </c>
      <c r="D1" s="11" t="s">
        <v>34</v>
      </c>
      <c r="E1" s="11" t="s">
        <v>34</v>
      </c>
      <c r="F1" s="11" t="s">
        <v>33</v>
      </c>
      <c r="G1" s="11" t="s">
        <v>33</v>
      </c>
      <c r="H1" s="11" t="s">
        <v>35</v>
      </c>
      <c r="I1" s="11" t="s">
        <v>35</v>
      </c>
      <c r="J1" s="11" t="s">
        <v>28</v>
      </c>
      <c r="K1" s="11" t="s">
        <v>28</v>
      </c>
      <c r="L1" s="11" t="s">
        <v>56</v>
      </c>
      <c r="M1" s="11" t="s">
        <v>56</v>
      </c>
      <c r="N1" s="11" t="s">
        <v>57</v>
      </c>
      <c r="O1" s="11" t="s">
        <v>57</v>
      </c>
      <c r="P1" s="11" t="s">
        <v>27</v>
      </c>
      <c r="Q1" s="11" t="s">
        <v>27</v>
      </c>
      <c r="R1" s="11" t="s">
        <v>58</v>
      </c>
      <c r="S1" s="11" t="s">
        <v>58</v>
      </c>
      <c r="T1" s="11" t="s">
        <v>29</v>
      </c>
      <c r="U1" s="11" t="s">
        <v>29</v>
      </c>
    </row>
    <row r="2" spans="1:21" x14ac:dyDescent="0.35">
      <c r="A2" s="11"/>
      <c r="B2" s="11" t="s">
        <v>25</v>
      </c>
      <c r="C2" s="11" t="s">
        <v>25</v>
      </c>
      <c r="D2" s="11" t="s">
        <v>37</v>
      </c>
      <c r="E2" s="11" t="s">
        <v>37</v>
      </c>
      <c r="F2" s="11" t="s">
        <v>36</v>
      </c>
      <c r="G2" s="11" t="s">
        <v>36</v>
      </c>
      <c r="H2" s="11" t="s">
        <v>39</v>
      </c>
      <c r="I2" s="11" t="s">
        <v>39</v>
      </c>
      <c r="J2" s="11" t="s">
        <v>26</v>
      </c>
      <c r="K2" s="11" t="s">
        <v>26</v>
      </c>
      <c r="L2" s="11" t="s">
        <v>50</v>
      </c>
      <c r="M2" s="11" t="s">
        <v>50</v>
      </c>
      <c r="N2" s="11" t="s">
        <v>53</v>
      </c>
      <c r="O2" s="11" t="s">
        <v>53</v>
      </c>
      <c r="P2" s="11" t="s">
        <v>22</v>
      </c>
      <c r="Q2" s="11" t="s">
        <v>22</v>
      </c>
      <c r="R2" s="11" t="s">
        <v>24</v>
      </c>
      <c r="S2" s="11" t="s">
        <v>24</v>
      </c>
      <c r="T2" s="11" t="s">
        <v>30</v>
      </c>
      <c r="U2" s="11" t="s">
        <v>30</v>
      </c>
    </row>
    <row r="3" spans="1:21" x14ac:dyDescent="0.35">
      <c r="B3" s="10">
        <v>44561</v>
      </c>
      <c r="C3" s="10">
        <v>44561</v>
      </c>
      <c r="D3" s="10">
        <v>44561</v>
      </c>
      <c r="E3" s="10">
        <v>44561</v>
      </c>
      <c r="F3" s="10">
        <v>44469</v>
      </c>
      <c r="G3" s="10">
        <v>44469</v>
      </c>
      <c r="H3" s="10">
        <v>44561</v>
      </c>
      <c r="I3" s="10">
        <v>44561</v>
      </c>
      <c r="J3" s="10">
        <v>44561</v>
      </c>
      <c r="K3" s="10">
        <v>44561</v>
      </c>
      <c r="L3" s="10">
        <v>44561</v>
      </c>
      <c r="M3" s="10">
        <v>44561</v>
      </c>
      <c r="N3" s="10">
        <v>44500</v>
      </c>
      <c r="O3" s="10">
        <v>44500</v>
      </c>
      <c r="P3" s="10">
        <v>44227</v>
      </c>
      <c r="Q3" s="10">
        <v>44227</v>
      </c>
      <c r="R3" s="10">
        <v>44561</v>
      </c>
      <c r="S3" s="10">
        <v>44561</v>
      </c>
      <c r="T3" s="10">
        <v>44561</v>
      </c>
      <c r="U3" s="10">
        <v>44561</v>
      </c>
    </row>
    <row r="4" spans="1:21" x14ac:dyDescent="0.35">
      <c r="B4" s="7">
        <v>2020</v>
      </c>
      <c r="C4" s="7">
        <v>2019</v>
      </c>
      <c r="D4" s="7">
        <v>2020</v>
      </c>
      <c r="E4" s="7">
        <v>2019</v>
      </c>
      <c r="F4" s="7">
        <v>2020</v>
      </c>
      <c r="G4" s="7">
        <v>2019</v>
      </c>
      <c r="H4" s="7">
        <v>2020</v>
      </c>
      <c r="I4" s="7">
        <v>2019</v>
      </c>
      <c r="J4" s="7">
        <v>2020</v>
      </c>
      <c r="K4" s="7">
        <v>2019</v>
      </c>
      <c r="L4" s="7">
        <v>2020</v>
      </c>
      <c r="M4" s="7">
        <v>2019</v>
      </c>
      <c r="N4" s="7">
        <v>2020</v>
      </c>
      <c r="O4" s="7">
        <v>2019</v>
      </c>
      <c r="P4" s="7">
        <v>2020</v>
      </c>
      <c r="Q4" s="7">
        <v>2019</v>
      </c>
      <c r="R4" s="7">
        <v>2020</v>
      </c>
      <c r="S4" s="7">
        <v>2019</v>
      </c>
      <c r="T4" s="7">
        <v>2020</v>
      </c>
      <c r="U4" s="7">
        <v>2019</v>
      </c>
    </row>
    <row r="5" spans="1:21" x14ac:dyDescent="0.35">
      <c r="A5" s="8" t="s">
        <v>10</v>
      </c>
      <c r="B5" s="1">
        <v>1.4936519790888724E-3</v>
      </c>
      <c r="C5" s="1">
        <v>-1.9197314207233328E-2</v>
      </c>
      <c r="D5" s="1">
        <v>0.37623430604373276</v>
      </c>
      <c r="E5" s="1">
        <v>0.2045412582067698</v>
      </c>
      <c r="F5" s="1">
        <v>5.5120803769784836E-2</v>
      </c>
      <c r="G5" s="1">
        <v>-2.0410775805267418E-2</v>
      </c>
      <c r="H5" s="1">
        <v>-5.2060510063854565E-2</v>
      </c>
      <c r="I5" s="1">
        <v>6.1122303169434747E-2</v>
      </c>
      <c r="J5" s="1">
        <v>-6.1439261264129859E-2</v>
      </c>
      <c r="K5" s="1">
        <v>2.7810278102780996E-2</v>
      </c>
      <c r="L5" s="1">
        <v>-0.24035057929178802</v>
      </c>
      <c r="M5" s="1">
        <v>-0.24294204317343537</v>
      </c>
      <c r="N5" s="1">
        <v>1.1702778795316613E-2</v>
      </c>
      <c r="O5" s="1">
        <v>-5.0685649035691459E-3</v>
      </c>
      <c r="P5" s="1">
        <v>0.19778011061040557</v>
      </c>
      <c r="Q5" s="1">
        <v>3.6573066510961302E-2</v>
      </c>
      <c r="R5" s="1">
        <v>6.1885982118890792E-2</v>
      </c>
      <c r="S5" s="1">
        <v>7.0312534530844614E-2</v>
      </c>
      <c r="T5" s="1">
        <v>-2.6021337496747333E-4</v>
      </c>
      <c r="U5" s="1">
        <v>-6.9342116668111298E-4</v>
      </c>
    </row>
    <row r="6" spans="1:21" x14ac:dyDescent="0.35">
      <c r="A6" s="7" t="s">
        <v>43</v>
      </c>
      <c r="B6" s="1">
        <v>0.17689435497069286</v>
      </c>
      <c r="C6" s="1">
        <v>-0.12860662013308174</v>
      </c>
      <c r="D6" s="1">
        <v>0.81869416637901271</v>
      </c>
      <c r="E6" s="1">
        <v>0.13410082109105548</v>
      </c>
      <c r="F6" s="1">
        <v>0.10600359315854316</v>
      </c>
      <c r="G6" s="1">
        <v>-3.9722958491138763E-3</v>
      </c>
      <c r="H6" s="1">
        <v>-1.3947368421052633</v>
      </c>
      <c r="I6" s="1">
        <v>-0.33333333333333337</v>
      </c>
      <c r="J6" s="1">
        <v>-0.31880765651090848</v>
      </c>
      <c r="K6" s="1">
        <v>0.14218518829344193</v>
      </c>
      <c r="L6" s="1">
        <v>17.642857142857139</v>
      </c>
      <c r="M6" s="1">
        <v>-1.0620498614958449</v>
      </c>
      <c r="N6" s="1">
        <v>-7.8168382224899219E-2</v>
      </c>
      <c r="O6" s="1">
        <v>-3.9873605097702644E-2</v>
      </c>
      <c r="P6" s="1">
        <v>0.35869337167237147</v>
      </c>
      <c r="Q6" s="1">
        <v>0.1558288753588524</v>
      </c>
      <c r="R6" s="1">
        <v>0.11535960246127167</v>
      </c>
      <c r="S6" s="1">
        <v>0.16916607756367699</v>
      </c>
      <c r="T6" s="1">
        <v>5.7317397004884821E-2</v>
      </c>
      <c r="U6" s="1">
        <v>7.1254272612952099E-2</v>
      </c>
    </row>
    <row r="7" spans="1:21" x14ac:dyDescent="0.35">
      <c r="A7" s="8" t="s">
        <v>0</v>
      </c>
      <c r="B7" s="1">
        <v>0.48406040268456374</v>
      </c>
      <c r="C7" s="1">
        <v>0.46676624346527257</v>
      </c>
      <c r="D7" s="1">
        <v>0.3956779186870571</v>
      </c>
      <c r="E7" s="1">
        <v>0.40990011478600608</v>
      </c>
      <c r="F7" s="1">
        <v>0.38233247727810865</v>
      </c>
      <c r="G7" s="1">
        <v>0.37817768109034722</v>
      </c>
      <c r="H7" s="1">
        <v>0.80840125756870052</v>
      </c>
      <c r="I7" s="1">
        <v>0.81039002610476119</v>
      </c>
      <c r="J7" s="1">
        <v>0.41427626333734796</v>
      </c>
      <c r="K7" s="1">
        <v>0.43911797484476994</v>
      </c>
      <c r="L7" s="1">
        <v>-9.7750954296915299E-2</v>
      </c>
      <c r="M7" s="1">
        <v>5.833409527292676E-2</v>
      </c>
      <c r="N7" s="1">
        <v>0.19003707357119173</v>
      </c>
      <c r="O7" s="1">
        <v>0.19844004364601076</v>
      </c>
      <c r="P7" s="1">
        <v>0.29268605508705553</v>
      </c>
      <c r="Q7" s="1">
        <v>0.29762392462105697</v>
      </c>
      <c r="R7" s="1">
        <v>0.26055743735926984</v>
      </c>
      <c r="S7" s="1">
        <v>0.23785591872973921</v>
      </c>
      <c r="T7" s="1">
        <v>0.63230956099253866</v>
      </c>
      <c r="U7" s="1">
        <v>0.61245554688177639</v>
      </c>
    </row>
    <row r="8" spans="1:21" x14ac:dyDescent="0.35">
      <c r="A8" s="7" t="s">
        <v>40</v>
      </c>
      <c r="B8" s="1">
        <v>0.22250186428038776</v>
      </c>
      <c r="C8" s="1">
        <v>0.19212098581030621</v>
      </c>
      <c r="D8" s="1">
        <v>5.9313999751336569E-2</v>
      </c>
      <c r="E8" s="1">
        <v>5.1835506662579051E-2</v>
      </c>
      <c r="F8" s="1">
        <v>0.24147314354406862</v>
      </c>
      <c r="G8" s="1">
        <v>0.24572017188496928</v>
      </c>
      <c r="H8" s="1">
        <v>3.7290405216581279E-2</v>
      </c>
      <c r="I8" s="1">
        <v>0.15428300210273024</v>
      </c>
      <c r="J8" s="1">
        <v>0.1183779749283303</v>
      </c>
      <c r="K8" s="1">
        <v>0.14688743830600223</v>
      </c>
      <c r="L8" s="1">
        <v>-0.21952267959696001</v>
      </c>
      <c r="M8" s="1">
        <v>-2.5797097663240117E-2</v>
      </c>
      <c r="N8" s="1">
        <v>0.11450531833294444</v>
      </c>
      <c r="O8" s="1">
        <v>0.12595820482774239</v>
      </c>
      <c r="P8" s="1">
        <v>6.989023204112825E-2</v>
      </c>
      <c r="Q8" s="1">
        <v>5.9632322818516999E-2</v>
      </c>
      <c r="R8" s="1">
        <v>8.7131184836334932E-2</v>
      </c>
      <c r="S8" s="1">
        <v>8.1290908715492147E-2</v>
      </c>
      <c r="T8" s="1">
        <v>0.18358493840013881</v>
      </c>
      <c r="U8" s="1">
        <v>0.18249631364385463</v>
      </c>
    </row>
    <row r="9" spans="1:21" x14ac:dyDescent="0.35">
      <c r="A9" s="8" t="s">
        <v>6</v>
      </c>
      <c r="B9" s="3">
        <v>53.847253293562019</v>
      </c>
      <c r="C9" s="3">
        <v>55.716563978093106</v>
      </c>
      <c r="D9" s="3">
        <v>22.236727589208005</v>
      </c>
      <c r="E9" s="3">
        <v>25.0249356556705</v>
      </c>
      <c r="F9" s="3">
        <v>25.958126149755024</v>
      </c>
      <c r="G9" s="3">
        <v>32.345430365832094</v>
      </c>
      <c r="H9" s="3">
        <v>45.53043490917559</v>
      </c>
      <c r="I9" s="3">
        <v>49.462230880883922</v>
      </c>
      <c r="J9" s="3">
        <v>72.066928466014147</v>
      </c>
      <c r="K9" s="3">
        <v>73.286200445788893</v>
      </c>
      <c r="L9" s="3">
        <v>16.383515595446887</v>
      </c>
      <c r="M9" s="3">
        <v>17.032125550229235</v>
      </c>
      <c r="N9" s="3">
        <v>24.251408550088453</v>
      </c>
      <c r="O9" s="3">
        <v>22.57555528577176</v>
      </c>
      <c r="P9" s="3" t="e">
        <v>#DIV/0!</v>
      </c>
      <c r="Q9" s="3" t="e">
        <v>#DIV/0!</v>
      </c>
      <c r="R9" s="3">
        <v>17.524587677577671</v>
      </c>
      <c r="S9" s="3">
        <v>17.492205405628624</v>
      </c>
      <c r="T9" s="3">
        <v>27.756593787957659</v>
      </c>
      <c r="U9" s="3">
        <v>26.86291092028797</v>
      </c>
    </row>
    <row r="10" spans="1:21" x14ac:dyDescent="0.35">
      <c r="A10" s="8" t="s">
        <v>7</v>
      </c>
      <c r="B10" s="3">
        <v>92.024841915085815</v>
      </c>
      <c r="C10" s="3">
        <v>90.525793650793645</v>
      </c>
      <c r="D10" s="3">
        <v>34.646581542774115</v>
      </c>
      <c r="E10" s="3">
        <v>41.531494659771894</v>
      </c>
      <c r="F10" s="3">
        <v>8.7903178244740765</v>
      </c>
      <c r="G10" s="3">
        <v>9.0944295409872549</v>
      </c>
      <c r="H10" s="3" t="e">
        <v>#DIV/0!</v>
      </c>
      <c r="I10" s="3" t="e">
        <v>#DIV/0!</v>
      </c>
      <c r="J10" s="3">
        <v>62.547568710359414</v>
      </c>
      <c r="K10" s="3">
        <v>68.07033977688836</v>
      </c>
      <c r="L10" s="3">
        <v>452.61818053662893</v>
      </c>
      <c r="M10" s="3">
        <v>352.3503322097846</v>
      </c>
      <c r="N10" s="3">
        <v>49.599772463802751</v>
      </c>
      <c r="O10" s="3">
        <v>48.087568564980302</v>
      </c>
      <c r="P10" s="3">
        <v>54.176111035556161</v>
      </c>
      <c r="Q10" s="3">
        <v>61.501941163604556</v>
      </c>
      <c r="R10" s="3" t="e">
        <v>#DIV/0!</v>
      </c>
      <c r="S10" s="3" t="e">
        <v>#DIV/0!</v>
      </c>
      <c r="T10" s="3">
        <v>46.464723926380366</v>
      </c>
      <c r="U10" s="3">
        <v>44.603849597135188</v>
      </c>
    </row>
    <row r="11" spans="1:21" x14ac:dyDescent="0.35">
      <c r="A11" s="8" t="s">
        <v>5</v>
      </c>
      <c r="B11" s="4">
        <v>1.885002516356316</v>
      </c>
      <c r="C11" s="4">
        <v>1.4065278681414011</v>
      </c>
      <c r="D11" s="4">
        <v>1.0502274795268425</v>
      </c>
      <c r="E11" s="4">
        <v>1.0970482394205803</v>
      </c>
      <c r="F11" s="4">
        <v>1.3636044481554577</v>
      </c>
      <c r="G11" s="4">
        <v>1.540125617208044</v>
      </c>
      <c r="H11" s="4">
        <v>0.81982408020429398</v>
      </c>
      <c r="I11" s="4">
        <v>0.79466268084921132</v>
      </c>
      <c r="J11" s="4">
        <v>1.7452424800491098</v>
      </c>
      <c r="K11" s="4">
        <v>1.3299179199030462</v>
      </c>
      <c r="L11" s="4">
        <v>1.393698441796517</v>
      </c>
      <c r="M11" s="4">
        <v>1.0505281979611969</v>
      </c>
      <c r="N11" s="4">
        <v>2.3797515234729532</v>
      </c>
      <c r="O11" s="4">
        <v>2.1369305795489613</v>
      </c>
      <c r="P11" s="4">
        <v>1.0313540372670806</v>
      </c>
      <c r="Q11" s="4">
        <v>0.89059156485124591</v>
      </c>
      <c r="R11" s="4">
        <v>0.74175642087821048</v>
      </c>
      <c r="S11" s="4">
        <v>0.69007154187303743</v>
      </c>
      <c r="T11" s="4">
        <v>0.77258787449870248</v>
      </c>
      <c r="U11" s="4">
        <v>0.68147985989492121</v>
      </c>
    </row>
    <row r="12" spans="1:21" x14ac:dyDescent="0.35">
      <c r="A12" s="6" t="s">
        <v>31</v>
      </c>
      <c r="B12" s="3">
        <v>2.0717592592592591</v>
      </c>
      <c r="C12" s="3">
        <v>2.6152954808806488</v>
      </c>
      <c r="D12" s="3">
        <v>0.66076843198338531</v>
      </c>
      <c r="E12" s="3">
        <v>0.64448114505917975</v>
      </c>
      <c r="F12" s="3">
        <v>1.3891187422424494</v>
      </c>
      <c r="G12" s="3">
        <v>1.3346104057429031</v>
      </c>
      <c r="H12" s="3">
        <v>4.5028779244580628</v>
      </c>
      <c r="I12" s="3">
        <v>2.9044185715302997</v>
      </c>
      <c r="J12" s="3">
        <v>3.0278029342510413</v>
      </c>
      <c r="K12" s="3">
        <v>2.4245754626979585</v>
      </c>
      <c r="L12" s="3">
        <v>-6.0434369356525046</v>
      </c>
      <c r="M12" s="3">
        <v>92.236486486486484</v>
      </c>
      <c r="N12" s="3">
        <v>0.9981822372264646</v>
      </c>
      <c r="O12" s="3">
        <v>0.18362451284416742</v>
      </c>
      <c r="P12" s="3">
        <v>1.4051418439716312</v>
      </c>
      <c r="Q12" s="3">
        <v>1.5834480859267419</v>
      </c>
      <c r="R12" s="3">
        <v>1.7183349146110056</v>
      </c>
      <c r="S12" s="3">
        <v>1.8155768801606784</v>
      </c>
      <c r="T12" s="3">
        <v>5.0674846625766872</v>
      </c>
      <c r="U12" s="3">
        <v>4.8094625867832344</v>
      </c>
    </row>
    <row r="13" spans="1:21" x14ac:dyDescent="0.35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EAEA1-E84B-4450-BBDC-59E168BC703A}">
  <dimension ref="A1:U2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C23" sqref="C23"/>
    </sheetView>
  </sheetViews>
  <sheetFormatPr defaultRowHeight="14.5" x14ac:dyDescent="0.35"/>
  <cols>
    <col min="1" max="1" width="21.08984375" style="7" bestFit="1" customWidth="1"/>
    <col min="2" max="4" width="6.54296875" style="7" bestFit="1" customWidth="1"/>
    <col min="5" max="5" width="6.54296875" bestFit="1" customWidth="1"/>
    <col min="6" max="7" width="6.453125" bestFit="1" customWidth="1"/>
    <col min="8" max="8" width="7.453125" bestFit="1" customWidth="1"/>
    <col min="9" max="9" width="7.1796875" bestFit="1" customWidth="1"/>
    <col min="10" max="11" width="6.54296875" bestFit="1" customWidth="1"/>
    <col min="12" max="12" width="7.81640625" bestFit="1" customWidth="1"/>
    <col min="13" max="13" width="7.453125" bestFit="1" customWidth="1"/>
    <col min="14" max="15" width="6.26953125" bestFit="1" customWidth="1"/>
    <col min="16" max="19" width="7.1796875" bestFit="1" customWidth="1"/>
    <col min="20" max="21" width="6.54296875" bestFit="1" customWidth="1"/>
  </cols>
  <sheetData>
    <row r="1" spans="1:21" x14ac:dyDescent="0.35">
      <c r="B1" s="11" t="str">
        <f>Data!B1</f>
        <v>3M</v>
      </c>
      <c r="C1" s="11" t="str">
        <f>Data!C1</f>
        <v>3M</v>
      </c>
      <c r="D1" s="11" t="str">
        <f>Data!E1</f>
        <v>Amazon</v>
      </c>
      <c r="E1" s="11" t="str">
        <f>Data!F1</f>
        <v>Amazon</v>
      </c>
      <c r="F1" s="11" t="str">
        <f>Data!H1</f>
        <v>Apple</v>
      </c>
      <c r="G1" s="11" t="str">
        <f>Data!I1</f>
        <v>Apple</v>
      </c>
      <c r="H1" s="11" t="str">
        <f>Data!K1</f>
        <v>AT&amp;T</v>
      </c>
      <c r="I1" s="11" t="str">
        <f>Data!L1</f>
        <v>AT&amp;T</v>
      </c>
      <c r="J1" s="11" t="str">
        <f>Data!N1</f>
        <v>Ecolab</v>
      </c>
      <c r="K1" s="11" t="str">
        <f>Data!O1</f>
        <v>Ecolab</v>
      </c>
      <c r="L1" s="11" t="str">
        <f>Data!Q1</f>
        <v>Boeing</v>
      </c>
      <c r="M1" s="11" t="str">
        <f>Data!R1</f>
        <v>Boeing</v>
      </c>
      <c r="N1" s="11" t="str">
        <f>Data!T1</f>
        <v>Hormel</v>
      </c>
      <c r="O1" s="11" t="str">
        <f>Data!U1</f>
        <v>Hormel</v>
      </c>
      <c r="P1" s="11" t="str">
        <f>Data!W1</f>
        <v>Target</v>
      </c>
      <c r="Q1" s="11" t="str">
        <f>Data!X1</f>
        <v>Target</v>
      </c>
      <c r="R1" s="11" t="str">
        <f>Data!Z1</f>
        <v>UnitedHealth</v>
      </c>
      <c r="S1" s="11" t="str">
        <f>Data!AA1</f>
        <v>UnitedHealth</v>
      </c>
      <c r="T1" s="11" t="str">
        <f>Data!AC1</f>
        <v>Xcel Energy</v>
      </c>
      <c r="U1" s="11" t="str">
        <f>Data!AD1</f>
        <v>Xcel Energy</v>
      </c>
    </row>
    <row r="2" spans="1:21" x14ac:dyDescent="0.35">
      <c r="A2" s="11"/>
      <c r="B2" s="11" t="str">
        <f>Data!B2</f>
        <v>MMM</v>
      </c>
      <c r="C2" s="11" t="str">
        <f>Data!C2</f>
        <v>MMM</v>
      </c>
      <c r="D2" s="11" t="str">
        <f>Data!E2</f>
        <v>AMZN</v>
      </c>
      <c r="E2" s="11" t="str">
        <f>Data!F2</f>
        <v>AMZN</v>
      </c>
      <c r="F2" s="11" t="str">
        <f>Data!H2</f>
        <v>AAPL</v>
      </c>
      <c r="G2" s="11" t="str">
        <f>Data!I2</f>
        <v>AAPL</v>
      </c>
      <c r="H2" s="11" t="str">
        <f>Data!K2</f>
        <v>T</v>
      </c>
      <c r="I2" s="11" t="str">
        <f>Data!L2</f>
        <v>T</v>
      </c>
      <c r="J2" s="11" t="str">
        <f>Data!N2</f>
        <v>ECL</v>
      </c>
      <c r="K2" s="11" t="str">
        <f>Data!O2</f>
        <v>ECL</v>
      </c>
      <c r="L2" s="11" t="str">
        <f>Data!Q2</f>
        <v>BA</v>
      </c>
      <c r="M2" s="11" t="str">
        <f>Data!R2</f>
        <v>BA</v>
      </c>
      <c r="N2" s="11" t="str">
        <f>Data!T2</f>
        <v>HRL</v>
      </c>
      <c r="O2" s="11" t="str">
        <f>Data!U2</f>
        <v>HRL</v>
      </c>
      <c r="P2" s="11" t="str">
        <f>Data!W2</f>
        <v>TGT</v>
      </c>
      <c r="Q2" s="11" t="str">
        <f>Data!X2</f>
        <v>TGT</v>
      </c>
      <c r="R2" s="11" t="str">
        <f>Data!Z2</f>
        <v>UNH</v>
      </c>
      <c r="S2" s="11" t="str">
        <f>Data!AA2</f>
        <v>UNH</v>
      </c>
      <c r="T2" s="11" t="str">
        <f>Data!AC2</f>
        <v>XEL</v>
      </c>
      <c r="U2" s="11" t="str">
        <f>Data!AD2</f>
        <v>XEL</v>
      </c>
    </row>
    <row r="3" spans="1:21" x14ac:dyDescent="0.35">
      <c r="B3" s="10">
        <f>Data!B3</f>
        <v>44561</v>
      </c>
      <c r="C3" s="10">
        <f>Data!C3</f>
        <v>44561</v>
      </c>
      <c r="D3" s="10">
        <f>Data!E3</f>
        <v>44561</v>
      </c>
      <c r="E3" s="10">
        <f>Data!F3</f>
        <v>44561</v>
      </c>
      <c r="F3" s="10">
        <f>Data!H3</f>
        <v>44469</v>
      </c>
      <c r="G3" s="10">
        <f>Data!I3</f>
        <v>44469</v>
      </c>
      <c r="H3" s="10">
        <f>Data!K3</f>
        <v>44561</v>
      </c>
      <c r="I3" s="10">
        <f>Data!L3</f>
        <v>44561</v>
      </c>
      <c r="J3" s="10">
        <f>Data!N3</f>
        <v>44561</v>
      </c>
      <c r="K3" s="10">
        <f>Data!O3</f>
        <v>44561</v>
      </c>
      <c r="L3" s="10">
        <f>Data!Q3</f>
        <v>44561</v>
      </c>
      <c r="M3" s="10">
        <f>Data!R3</f>
        <v>44561</v>
      </c>
      <c r="N3" s="10">
        <f>Data!T3</f>
        <v>44500</v>
      </c>
      <c r="O3" s="10">
        <f>Data!U3</f>
        <v>44500</v>
      </c>
      <c r="P3" s="10">
        <f>Data!W3</f>
        <v>44227</v>
      </c>
      <c r="Q3" s="10">
        <f>Data!X3</f>
        <v>44227</v>
      </c>
      <c r="R3" s="10">
        <f>Data!Z3</f>
        <v>44561</v>
      </c>
      <c r="S3" s="10">
        <f>Data!AA3</f>
        <v>44561</v>
      </c>
      <c r="T3" s="10">
        <f>Data!AC3</f>
        <v>44561</v>
      </c>
      <c r="U3" s="10">
        <f>Data!AD3</f>
        <v>44561</v>
      </c>
    </row>
    <row r="4" spans="1:21" x14ac:dyDescent="0.35">
      <c r="B4" s="7">
        <f>Data!B4</f>
        <v>2020</v>
      </c>
      <c r="C4" s="7">
        <f>Data!C4</f>
        <v>2019</v>
      </c>
      <c r="D4" s="7">
        <f>Data!E4</f>
        <v>2020</v>
      </c>
      <c r="E4" s="7">
        <f>Data!F4</f>
        <v>2019</v>
      </c>
      <c r="F4" s="7">
        <f>Data!H4</f>
        <v>2020</v>
      </c>
      <c r="G4" s="7">
        <f>Data!I4</f>
        <v>2019</v>
      </c>
      <c r="H4" s="7">
        <f>Data!K4</f>
        <v>2020</v>
      </c>
      <c r="I4" s="7">
        <f>Data!L4</f>
        <v>2019</v>
      </c>
      <c r="J4" s="7">
        <f>Data!N4</f>
        <v>2020</v>
      </c>
      <c r="K4" s="7">
        <f>Data!O4</f>
        <v>2019</v>
      </c>
      <c r="L4" s="7">
        <f>Data!Q4</f>
        <v>2020</v>
      </c>
      <c r="M4" s="7">
        <f>Data!R4</f>
        <v>2019</v>
      </c>
      <c r="N4" s="7">
        <f>Data!T4</f>
        <v>2020</v>
      </c>
      <c r="O4" s="7">
        <f>Data!U4</f>
        <v>2019</v>
      </c>
      <c r="P4" s="7">
        <f>Data!W4</f>
        <v>2020</v>
      </c>
      <c r="Q4" s="7">
        <f>Data!X4</f>
        <v>2019</v>
      </c>
      <c r="R4" s="7">
        <f>Data!Z4</f>
        <v>2020</v>
      </c>
      <c r="S4" s="7">
        <f>Data!AA4</f>
        <v>2019</v>
      </c>
      <c r="T4" s="7">
        <f>Data!AC4</f>
        <v>2020</v>
      </c>
      <c r="U4" s="7">
        <f>Data!AD4</f>
        <v>2019</v>
      </c>
    </row>
    <row r="5" spans="1:21" x14ac:dyDescent="0.35">
      <c r="A5" s="8" t="s">
        <v>10</v>
      </c>
      <c r="B5" s="1">
        <f>(Data!B5-Data!C5)/Data!C5</f>
        <v>1.4936519790888724E-3</v>
      </c>
      <c r="C5" s="1">
        <f>(Data!C5-Data!D5)/Data!D5</f>
        <v>-1.9197314207233328E-2</v>
      </c>
      <c r="D5" s="1">
        <f>(Data!E5-Data!F5)/Data!F5</f>
        <v>0.37623430604373276</v>
      </c>
      <c r="E5" s="1">
        <f>(Data!F5-Data!G5)/Data!G5</f>
        <v>0.2045412582067698</v>
      </c>
      <c r="F5" s="1">
        <f>(Data!H5-Data!I5)/Data!I5</f>
        <v>5.5120803769784836E-2</v>
      </c>
      <c r="G5" s="1">
        <f>(Data!I5-Data!J5)/Data!J5</f>
        <v>-2.0410775805267418E-2</v>
      </c>
      <c r="H5" s="1">
        <f>(Data!K5-Data!L5)/Data!L5</f>
        <v>-5.2060510063854565E-2</v>
      </c>
      <c r="I5" s="1">
        <f>(Data!L5-Data!M5)/Data!M5</f>
        <v>6.1122303169434747E-2</v>
      </c>
      <c r="J5" s="1">
        <f>(Data!N5-Data!O5)/Data!O5</f>
        <v>-6.1439261264129859E-2</v>
      </c>
      <c r="K5" s="1">
        <f>(Data!O5-Data!P5)/Data!P5</f>
        <v>2.7810278102780996E-2</v>
      </c>
      <c r="L5" s="1">
        <f>(Data!Q5-Data!R5)/Data!R5</f>
        <v>-0.24035057929178802</v>
      </c>
      <c r="M5" s="1">
        <f>(Data!R5-Data!S5)/Data!S5</f>
        <v>-0.24294204317343537</v>
      </c>
      <c r="N5" s="1">
        <f>(Data!T5-Data!U5)/Data!U5</f>
        <v>1.1702778795316613E-2</v>
      </c>
      <c r="O5" s="1">
        <f>(Data!U5-Data!V5)/Data!V5</f>
        <v>-5.0685649035691459E-3</v>
      </c>
      <c r="P5" s="1">
        <f>(Data!W5-Data!X5)/Data!X5</f>
        <v>0.19778011061040557</v>
      </c>
      <c r="Q5" s="1">
        <f>(Data!X5-Data!Y5)/Data!Y5</f>
        <v>3.6573066510961302E-2</v>
      </c>
      <c r="R5" s="1">
        <f>(Data!Z5-Data!AA5)/Data!AA5</f>
        <v>6.1885982118890792E-2</v>
      </c>
      <c r="S5" s="1">
        <f>(Data!AA5-Data!AB5)/Data!AB5</f>
        <v>7.0312534530844614E-2</v>
      </c>
      <c r="T5" s="1">
        <f>(Data!AC5-Data!AD5)/Data!AD5</f>
        <v>-2.6021337496747333E-4</v>
      </c>
      <c r="U5" s="1">
        <f>(Data!AD5-Data!AE5)/Data!AE5</f>
        <v>-6.9342116668111298E-4</v>
      </c>
    </row>
    <row r="6" spans="1:21" x14ac:dyDescent="0.35">
      <c r="A6" s="7" t="s">
        <v>43</v>
      </c>
      <c r="B6" s="1">
        <f>(Data!B11-Data!C11)/Data!C11</f>
        <v>0.17689435497069286</v>
      </c>
      <c r="C6" s="1">
        <f>(Data!C11-Data!D11)/Data!D11</f>
        <v>-0.12860662013308174</v>
      </c>
      <c r="D6" s="1">
        <f>(Data!E11-Data!F11)/Data!F11</f>
        <v>0.81869416637901271</v>
      </c>
      <c r="E6" s="1">
        <f>(Data!F11-Data!G11)/Data!G11</f>
        <v>0.13410082109105548</v>
      </c>
      <c r="F6" s="1">
        <f>(Data!H11-Data!I11)/Data!I11</f>
        <v>0.10600359315854316</v>
      </c>
      <c r="G6" s="1">
        <f>(Data!I11-Data!J11)/Data!J11</f>
        <v>-3.9722958491138763E-3</v>
      </c>
      <c r="H6" s="1">
        <f>(Data!K11-Data!L11)/Data!L11</f>
        <v>-1.3947368421052633</v>
      </c>
      <c r="I6" s="1">
        <f>(Data!L11-Data!M11)/Data!M11</f>
        <v>-0.33333333333333337</v>
      </c>
      <c r="J6" s="1">
        <f>(Data!N11-Data!O11)/Data!O11</f>
        <v>-0.31880765651090848</v>
      </c>
      <c r="K6" s="1">
        <f>(Data!O11-Data!P11)/Data!P11</f>
        <v>0.14218518829344193</v>
      </c>
      <c r="L6" s="1">
        <f>(Data!Q11-Data!R11)/Data!R11</f>
        <v>17.642857142857139</v>
      </c>
      <c r="M6" s="1">
        <f>(Data!R11-Data!S11)/Data!S11</f>
        <v>-1.0620498614958449</v>
      </c>
      <c r="N6" s="1">
        <f>(Data!T11-Data!U11)/Data!U11</f>
        <v>-7.8168382224899219E-2</v>
      </c>
      <c r="O6" s="1">
        <f>(Data!U11-Data!V11)/Data!V11</f>
        <v>-3.9873605097702644E-2</v>
      </c>
      <c r="P6" s="1">
        <f>(Data!W11-Data!X11)/Data!X11</f>
        <v>0.35869337167237147</v>
      </c>
      <c r="Q6" s="1">
        <f>(Data!X11-Data!Y11)/Data!Y11</f>
        <v>0.1558288753588524</v>
      </c>
      <c r="R6" s="1">
        <f>(Data!Z11-Data!AA11)/Data!AA11</f>
        <v>0.11535960246127167</v>
      </c>
      <c r="S6" s="1">
        <f>(Data!AA11-Data!AB11)/Data!AB11</f>
        <v>0.16916607756367699</v>
      </c>
      <c r="T6" s="1">
        <f>(Data!AC11-Data!AD11)/Data!AD11</f>
        <v>5.7317397004884821E-2</v>
      </c>
      <c r="U6" s="1">
        <f>(Data!AD11-Data!AE11)/Data!AE11</f>
        <v>7.1254272612952099E-2</v>
      </c>
    </row>
    <row r="7" spans="1:21" x14ac:dyDescent="0.35">
      <c r="A7" s="8" t="s">
        <v>0</v>
      </c>
      <c r="B7" s="1">
        <f>Data!B7/Data!B5</f>
        <v>0.48406040268456374</v>
      </c>
      <c r="C7" s="1">
        <f>Data!C7/Data!C5</f>
        <v>0.46676624346527257</v>
      </c>
      <c r="D7" s="1">
        <f>Data!E7/Data!E5</f>
        <v>0.3956779186870571</v>
      </c>
      <c r="E7" s="1">
        <f>Data!F7/Data!F5</f>
        <v>0.40990011478600608</v>
      </c>
      <c r="F7" s="1">
        <f>Data!H7/Data!H5</f>
        <v>0.38233247727810865</v>
      </c>
      <c r="G7" s="1">
        <f>Data!I7/Data!I5</f>
        <v>0.37817768109034722</v>
      </c>
      <c r="H7" s="1">
        <f>Data!K7/Data!K5</f>
        <v>0.80840125756870052</v>
      </c>
      <c r="I7" s="1">
        <f>Data!L7/Data!L5</f>
        <v>0.81039002610476119</v>
      </c>
      <c r="J7" s="1">
        <f>Data!N7/Data!N5</f>
        <v>0.41427626333734796</v>
      </c>
      <c r="K7" s="1">
        <f>Data!O7/Data!O5</f>
        <v>0.43911797484476994</v>
      </c>
      <c r="L7" s="1">
        <f>Data!Q7/Data!Q5</f>
        <v>-9.7750954296915299E-2</v>
      </c>
      <c r="M7" s="1">
        <f>Data!R7/Data!R5</f>
        <v>5.833409527292676E-2</v>
      </c>
      <c r="N7" s="1">
        <f>Data!T7/Data!T5</f>
        <v>0.19003707357119173</v>
      </c>
      <c r="O7" s="1">
        <f>Data!U7/Data!U5</f>
        <v>0.19844004364601076</v>
      </c>
      <c r="P7" s="1">
        <f>Data!W7/Data!W5</f>
        <v>0.29268605508705553</v>
      </c>
      <c r="Q7" s="1">
        <f>Data!X7/Data!X5</f>
        <v>0.29762392462105697</v>
      </c>
      <c r="R7" s="1">
        <f>Data!Z7/Data!Z5</f>
        <v>0.26055743735926984</v>
      </c>
      <c r="S7" s="1">
        <f>Data!AA7/Data!AA5</f>
        <v>0.23785591872973921</v>
      </c>
      <c r="T7" s="1">
        <f>Data!AC7/Data!AC5</f>
        <v>0.63230956099253866</v>
      </c>
      <c r="U7" s="1">
        <f>Data!AD7/Data!AD5</f>
        <v>0.61245554688177639</v>
      </c>
    </row>
    <row r="8" spans="1:21" x14ac:dyDescent="0.35">
      <c r="A8" s="7" t="s">
        <v>40</v>
      </c>
      <c r="B8" s="1">
        <f>Data!B8/Data!B5</f>
        <v>0.22250186428038776</v>
      </c>
      <c r="C8" s="1">
        <f>Data!C8/Data!C5</f>
        <v>0.19212098581030621</v>
      </c>
      <c r="D8" s="1">
        <f>Data!E8/Data!E5</f>
        <v>5.9313999751336569E-2</v>
      </c>
      <c r="E8" s="1">
        <f>Data!F8/Data!F5</f>
        <v>5.1835506662579051E-2</v>
      </c>
      <c r="F8" s="1">
        <f>Data!H8/Data!H5</f>
        <v>0.24147314354406862</v>
      </c>
      <c r="G8" s="1">
        <f>Data!I8/Data!I5</f>
        <v>0.24572017188496928</v>
      </c>
      <c r="H8" s="1">
        <f>Data!K8/Data!K5</f>
        <v>3.7290405216581279E-2</v>
      </c>
      <c r="I8" s="1">
        <f>Data!L8/Data!L5</f>
        <v>0.15428300210273024</v>
      </c>
      <c r="J8" s="1">
        <f>Data!N8/Data!N5</f>
        <v>0.1183779749283303</v>
      </c>
      <c r="K8" s="1">
        <f>Data!O8/Data!O5</f>
        <v>0.14688743830600223</v>
      </c>
      <c r="L8" s="1">
        <f>Data!Q8/Data!Q5</f>
        <v>-0.21952267959696001</v>
      </c>
      <c r="M8" s="1">
        <f>Data!R8/Data!R5</f>
        <v>-2.5797097663240117E-2</v>
      </c>
      <c r="N8" s="1">
        <f>Data!T8/Data!T5</f>
        <v>0.11450531833294444</v>
      </c>
      <c r="O8" s="1">
        <f>Data!U8/Data!U5</f>
        <v>0.12595820482774239</v>
      </c>
      <c r="P8" s="1">
        <f>Data!W8/Data!W5</f>
        <v>6.989023204112825E-2</v>
      </c>
      <c r="Q8" s="1">
        <f>Data!X8/Data!X5</f>
        <v>5.9632322818516999E-2</v>
      </c>
      <c r="R8" s="1">
        <f>Data!Z8/Data!Z5</f>
        <v>8.7131184836334932E-2</v>
      </c>
      <c r="S8" s="1">
        <f>Data!AA8/Data!AA5</f>
        <v>8.1290908715492147E-2</v>
      </c>
      <c r="T8" s="1">
        <f>Data!AC8/Data!AC5</f>
        <v>0.18358493840013881</v>
      </c>
      <c r="U8" s="1">
        <f>Data!AD8/Data!AD5</f>
        <v>0.18249631364385463</v>
      </c>
    </row>
    <row r="9" spans="1:21" x14ac:dyDescent="0.35">
      <c r="A9" s="8" t="s">
        <v>6</v>
      </c>
      <c r="B9" s="3">
        <f>365/(Data!B5/((Data!B13+Data!C13)/2))</f>
        <v>53.847253293562019</v>
      </c>
      <c r="C9" s="3">
        <f>365/(Data!C5/((Data!C13+Data!D13)/2))</f>
        <v>55.716563978093106</v>
      </c>
      <c r="D9" s="3">
        <f>365/(Data!E5/((Data!E13+Data!F13)/2))</f>
        <v>22.236727589208005</v>
      </c>
      <c r="E9" s="3">
        <f>365/(Data!F5/((Data!F13+Data!G13)/2))</f>
        <v>25.0249356556705</v>
      </c>
      <c r="F9" s="3">
        <f>365/(Data!H5/((Data!H13+Data!I13)/2))</f>
        <v>25.958126149755024</v>
      </c>
      <c r="G9" s="3">
        <f>365/(Data!I5/((Data!I13+Data!J13)/2))</f>
        <v>32.345430365832094</v>
      </c>
      <c r="H9" s="3">
        <f>365/(Data!K5/((Data!K13+Data!L13)/2))</f>
        <v>45.53043490917559</v>
      </c>
      <c r="I9" s="3">
        <f>365/(Data!L5/((Data!L13+Data!M13)/2))</f>
        <v>49.462230880883922</v>
      </c>
      <c r="J9" s="3">
        <f>365/(Data!N5/((Data!N13+Data!O13)/2))</f>
        <v>72.066928466014147</v>
      </c>
      <c r="K9" s="3">
        <f>365/(Data!O5/((Data!O13+Data!P13)/2))</f>
        <v>73.286200445788893</v>
      </c>
      <c r="L9" s="3">
        <f>365/(Data!Q5/((Data!Q13+Data!R13)/2))</f>
        <v>16.383515595446887</v>
      </c>
      <c r="M9" s="3">
        <f>365/(Data!R5/((Data!R13+Data!S13)/2))</f>
        <v>17.032125550229235</v>
      </c>
      <c r="N9" s="3">
        <f>365/(Data!T5/((Data!T13+Data!U13)/2))</f>
        <v>24.251408550088453</v>
      </c>
      <c r="O9" s="3">
        <f>365/(Data!U5/((Data!U13+Data!V13)/2))</f>
        <v>22.57555528577176</v>
      </c>
      <c r="P9" s="3" t="e">
        <f>365/(Data!W5/((Data!W13+Data!X13)/2))</f>
        <v>#DIV/0!</v>
      </c>
      <c r="Q9" s="3" t="e">
        <f>365/(Data!X5/((Data!X13+Data!Y13)/2))</f>
        <v>#DIV/0!</v>
      </c>
      <c r="R9" s="3">
        <f>365/(Data!Z5/((Data!Z13+Data!AA13)/2))</f>
        <v>17.524587677577671</v>
      </c>
      <c r="S9" s="3">
        <f>365/(Data!AA5/((Data!AA13+Data!AB13)/2))</f>
        <v>17.492205405628624</v>
      </c>
      <c r="T9" s="3">
        <f>365/(Data!AC5/((Data!AC13+Data!AD13)/2))</f>
        <v>27.756593787957659</v>
      </c>
      <c r="U9" s="3">
        <f>365/(Data!AD5/((Data!AD13+Data!AE13)/2))</f>
        <v>26.86291092028797</v>
      </c>
    </row>
    <row r="10" spans="1:21" x14ac:dyDescent="0.35">
      <c r="A10" s="8" t="s">
        <v>7</v>
      </c>
      <c r="B10" s="3">
        <f>365/(Data!B6/((Data!B14+Data!C14)/2))</f>
        <v>92.024841915085815</v>
      </c>
      <c r="C10" s="3">
        <f>365/(Data!C6/((Data!C14+Data!D14)/2))</f>
        <v>90.525793650793645</v>
      </c>
      <c r="D10" s="3">
        <f>365/(Data!E6/((Data!E14+Data!F14)/2))</f>
        <v>34.646581542774115</v>
      </c>
      <c r="E10" s="3">
        <f>365/(Data!F6/((Data!F14+Data!G14)/2))</f>
        <v>41.531494659771894</v>
      </c>
      <c r="F10" s="3">
        <f>365/(Data!H6/((Data!H14+Data!I14)/2))</f>
        <v>8.7903178244740765</v>
      </c>
      <c r="G10" s="3">
        <f>365/(Data!I6/((Data!I14+Data!J14)/2))</f>
        <v>9.0944295409872549</v>
      </c>
      <c r="H10" s="3" t="e">
        <f>365/(Data!K6/((Data!K14+Data!L14)/2))</f>
        <v>#DIV/0!</v>
      </c>
      <c r="I10" s="3" t="e">
        <f>365/(Data!L6/((Data!L14+Data!M14)/2))</f>
        <v>#DIV/0!</v>
      </c>
      <c r="J10" s="3">
        <f>365/(Data!N6/((Data!N14+Data!O14)/2))</f>
        <v>62.547568710359414</v>
      </c>
      <c r="K10" s="3">
        <f>365/(Data!O6/((Data!O14+Data!P14)/2))</f>
        <v>68.07033977688836</v>
      </c>
      <c r="L10" s="3">
        <f>365/(Data!Q6/((Data!Q14+Data!R14)/2))</f>
        <v>452.61818053662893</v>
      </c>
      <c r="M10" s="3">
        <f>365/(Data!R6/((Data!R14+Data!S14)/2))</f>
        <v>352.3503322097846</v>
      </c>
      <c r="N10" s="3">
        <f>365/(Data!T6/((Data!T14+Data!U14)/2))</f>
        <v>49.599772463802751</v>
      </c>
      <c r="O10" s="3">
        <f>365/(Data!U6/((Data!U14+Data!V14)/2))</f>
        <v>48.087568564980302</v>
      </c>
      <c r="P10" s="3">
        <f>365/(Data!W6/((Data!W14+Data!X14)/2))</f>
        <v>54.176111035556161</v>
      </c>
      <c r="Q10" s="3">
        <f>365/(Data!X6/((Data!X14+Data!Y14)/2))</f>
        <v>61.501941163604556</v>
      </c>
      <c r="R10" s="3" t="e">
        <f>365/(Data!Z6/((Data!Z14+Data!AA14)/2))</f>
        <v>#DIV/0!</v>
      </c>
      <c r="S10" s="3" t="e">
        <f>365/(Data!AA6/((Data!AA14+Data!AB14)/2))</f>
        <v>#DIV/0!</v>
      </c>
      <c r="T10" s="3">
        <f>365/(Data!AC6/((Data!AC14+Data!AD14)/2))</f>
        <v>46.464723926380366</v>
      </c>
      <c r="U10" s="3">
        <f>365/(Data!AD6/((Data!AD14+Data!AE14)/2))</f>
        <v>44.603849597135188</v>
      </c>
    </row>
    <row r="11" spans="1:21" x14ac:dyDescent="0.35">
      <c r="A11" s="8" t="s">
        <v>5</v>
      </c>
      <c r="B11" s="4">
        <f>Data!B15/Data!B17</f>
        <v>1.885002516356316</v>
      </c>
      <c r="C11" s="4">
        <f>Data!C15/Data!C17</f>
        <v>1.4065278681414011</v>
      </c>
      <c r="D11" s="4">
        <f>Data!E15/Data!E17</f>
        <v>1.0502274795268425</v>
      </c>
      <c r="E11" s="4">
        <f>Data!F15/Data!F17</f>
        <v>1.0970482394205803</v>
      </c>
      <c r="F11" s="4">
        <f>Data!H15/Data!H17</f>
        <v>1.3636044481554577</v>
      </c>
      <c r="G11" s="4">
        <f>Data!I15/Data!I17</f>
        <v>1.540125617208044</v>
      </c>
      <c r="H11" s="4">
        <f>Data!K15/Data!K17</f>
        <v>0.81982408020429398</v>
      </c>
      <c r="I11" s="4">
        <f>Data!L15/Data!L17</f>
        <v>0.79466268084921132</v>
      </c>
      <c r="J11" s="4">
        <f>Data!N15/Data!N17</f>
        <v>1.7452424800491098</v>
      </c>
      <c r="K11" s="4">
        <f>Data!O15/Data!O17</f>
        <v>1.3299179199030462</v>
      </c>
      <c r="L11" s="4">
        <f>Data!Q15/Data!Q17</f>
        <v>1.393698441796517</v>
      </c>
      <c r="M11" s="4">
        <f>Data!R15/Data!R17</f>
        <v>1.0505281979611969</v>
      </c>
      <c r="N11" s="4">
        <f>Data!T15/Data!T17</f>
        <v>2.3797515234729532</v>
      </c>
      <c r="O11" s="4">
        <f>Data!U15/Data!U17</f>
        <v>2.1369305795489613</v>
      </c>
      <c r="P11" s="4">
        <f>Data!W15/Data!W17</f>
        <v>1.0313540372670806</v>
      </c>
      <c r="Q11" s="4">
        <f>Data!X15/Data!X17</f>
        <v>0.89059156485124591</v>
      </c>
      <c r="R11" s="4">
        <f>Data!Z15/Data!Z17</f>
        <v>0.74175642087821048</v>
      </c>
      <c r="S11" s="4">
        <f>Data!AA15/Data!AA17</f>
        <v>0.69007154187303743</v>
      </c>
      <c r="T11" s="4">
        <f>Data!AC15/Data!AC17</f>
        <v>0.77258787449870248</v>
      </c>
      <c r="U11" s="4">
        <f>Data!AD15/Data!AD17</f>
        <v>0.68147985989492121</v>
      </c>
    </row>
    <row r="12" spans="1:21" x14ac:dyDescent="0.35">
      <c r="A12" s="6" t="s">
        <v>31</v>
      </c>
      <c r="B12" s="3">
        <f>Data!B18/(Data!B8+Data!B12)</f>
        <v>2.0717592592592591</v>
      </c>
      <c r="C12" s="3">
        <f>Data!C18/(Data!C8+Data!C12)</f>
        <v>2.6152954808806488</v>
      </c>
      <c r="D12" s="3">
        <f>Data!E18/(Data!E8+Data!E12)</f>
        <v>0.66076843198338531</v>
      </c>
      <c r="E12" s="3">
        <f>Data!F18/(Data!F8+Data!F12)</f>
        <v>0.64448114505917975</v>
      </c>
      <c r="F12" s="3">
        <f>Data!H18/(Data!H8+Data!H12)</f>
        <v>1.3891187422424494</v>
      </c>
      <c r="G12" s="3">
        <f>Data!I18/(Data!I8+Data!I12)</f>
        <v>1.3346104057429031</v>
      </c>
      <c r="H12" s="3">
        <f>Data!K18/(Data!K8+Data!K12)</f>
        <v>4.5028779244580628</v>
      </c>
      <c r="I12" s="3">
        <f>Data!L18/(Data!L8+Data!L12)</f>
        <v>2.9044185715302997</v>
      </c>
      <c r="J12" s="3">
        <f>Data!N18/(Data!N8+Data!N12)</f>
        <v>3.0278029342510413</v>
      </c>
      <c r="K12" s="3">
        <f>Data!O18/(Data!O8+Data!O12)</f>
        <v>2.4245754626979585</v>
      </c>
      <c r="L12" s="3">
        <f>Data!Q18/(Data!Q8+Data!Q12)</f>
        <v>-6.0434369356525046</v>
      </c>
      <c r="M12" s="3">
        <f>Data!R18/(Data!R8+Data!R12)</f>
        <v>92.236486486486484</v>
      </c>
      <c r="N12" s="3">
        <f>Data!T18/(Data!T8+Data!T12)</f>
        <v>0.9981822372264646</v>
      </c>
      <c r="O12" s="3">
        <f>Data!U18/(Data!U8+Data!U12)</f>
        <v>0.18362451284416742</v>
      </c>
      <c r="P12" s="3">
        <f>Data!W18/(Data!W8+Data!W12)</f>
        <v>1.4051418439716312</v>
      </c>
      <c r="Q12" s="3">
        <f>Data!X18/(Data!X8+Data!X12)</f>
        <v>1.5834480859267419</v>
      </c>
      <c r="R12" s="3">
        <f>Data!Z18/(Data!Z8+Data!Z12)</f>
        <v>1.7183349146110056</v>
      </c>
      <c r="S12" s="3">
        <f>Data!AA18/(Data!AA8+Data!AA12)</f>
        <v>1.8155768801606784</v>
      </c>
      <c r="T12" s="3">
        <f>Data!AC18/(Data!AC8+Data!AC12)</f>
        <v>5.0674846625766872</v>
      </c>
      <c r="U12" s="3">
        <f>Data!AD18/(Data!AD8+Data!AD12)</f>
        <v>4.8094625867832344</v>
      </c>
    </row>
    <row r="13" spans="1:21" x14ac:dyDescent="0.35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35">
      <c r="A14" s="6" t="s">
        <v>47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35"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35">
      <c r="A16" s="8" t="s">
        <v>9</v>
      </c>
      <c r="B16" s="1">
        <f>(Data!B9-Data!C9)/Data!C9</f>
        <v>0.17811816192560176</v>
      </c>
      <c r="C16" s="1">
        <f>(Data!C9-Data!D9)/Data!D9</f>
        <v>-0.14563469807440643</v>
      </c>
      <c r="D16" s="1">
        <f>(Data!E9-Data!F9)/Data!F9</f>
        <v>0.84078356920952713</v>
      </c>
      <c r="E16" s="1">
        <f>(Data!F9-Data!G9)/Data!G9</f>
        <v>0.15040206492603991</v>
      </c>
      <c r="F16" s="1">
        <f>(Data!H9-Data!I9)/Data!I9</f>
        <v>3.9000289561314606E-2</v>
      </c>
      <c r="G16" s="1">
        <f>(Data!I9-Data!J9)/Data!J9</f>
        <v>-7.1811325191916811E-2</v>
      </c>
      <c r="H16" s="1">
        <f>(Data!K9-Data!L9)/Data!L9</f>
        <v>-1.3862589928057554</v>
      </c>
      <c r="I16" s="1">
        <f>(Data!L9-Data!M9)/Data!M9</f>
        <v>-0.28239545689210116</v>
      </c>
      <c r="J16" s="1">
        <f>(Data!N9-Data!O9)/Data!O9</f>
        <v>-0.32140852974186307</v>
      </c>
      <c r="K16" s="1">
        <f>(Data!O9-Data!P9)/Data!P9</f>
        <v>0.14020635047588575</v>
      </c>
      <c r="L16" s="1">
        <f>(Data!Q9-Data!R9)/Data!R9</f>
        <v>17.668238993710691</v>
      </c>
      <c r="M16" s="1">
        <f>(Data!R9-Data!S9)/Data!S9</f>
        <v>-1.0608030592734226</v>
      </c>
      <c r="N16" s="1">
        <f>(Data!T9-Data!U9)/Data!U9</f>
        <v>-7.225538053506006E-2</v>
      </c>
      <c r="O16" s="1">
        <f>(Data!U9-Data!V9)/Data!V9</f>
        <v>-3.2934179066137097E-2</v>
      </c>
      <c r="P16" s="1">
        <f>(Data!W9-Data!X9)/Data!X9</f>
        <v>0.33130143249009447</v>
      </c>
      <c r="Q16" s="1">
        <f>(Data!X9-Data!Y9)/Data!Y9</f>
        <v>0.11712631937351038</v>
      </c>
      <c r="R16" s="1">
        <f>(Data!Z9-Data!AA9)/Data!AA9</f>
        <v>0.11301394609437099</v>
      </c>
      <c r="S16" s="1">
        <f>(Data!AA9-Data!AB9)/Data!AB9</f>
        <v>0.15459702986817955</v>
      </c>
      <c r="T16" s="1">
        <f>(Data!AC9-Data!AD9)/Data!AD9</f>
        <v>7.3615160349854228E-2</v>
      </c>
      <c r="U16" s="1">
        <f>(Data!AD9-Data!AE9)/Data!AE9</f>
        <v>8.8025376685170506E-2</v>
      </c>
    </row>
    <row r="17" spans="1:21" x14ac:dyDescent="0.35">
      <c r="A17" s="8" t="s">
        <v>1</v>
      </c>
      <c r="B17" s="1">
        <f>Data!B9/Data!B5</f>
        <v>0.1672880934625901</v>
      </c>
      <c r="C17" s="1">
        <f>Data!C9/Data!C5</f>
        <v>0.14220811550908638</v>
      </c>
      <c r="D17" s="1">
        <f>Data!E9/Data!E5</f>
        <v>5.5252496995316841E-2</v>
      </c>
      <c r="E17" s="1">
        <f>Data!F9/Data!F5</f>
        <v>4.1308703060722513E-2</v>
      </c>
      <c r="F17" s="1">
        <f>Data!H9/Data!H5</f>
        <v>0.20913611278072236</v>
      </c>
      <c r="G17" s="1">
        <f>Data!I9/Data!I5</f>
        <v>0.21238094505984456</v>
      </c>
      <c r="H17" s="1">
        <f>Data!K9/Data!K5</f>
        <v>-3.1258733115975781E-2</v>
      </c>
      <c r="I17" s="1">
        <f>Data!L9/Data!L5</f>
        <v>7.6713780333677345E-2</v>
      </c>
      <c r="J17" s="1">
        <f>Data!N9/Data!N5</f>
        <v>8.2051195060304311E-2</v>
      </c>
      <c r="K17" s="1">
        <f>Data!O9/Data!O5</f>
        <v>0.11348511383537653</v>
      </c>
      <c r="L17" s="1">
        <f>Data!Q9/Data!Q5</f>
        <v>-0.20415076171807833</v>
      </c>
      <c r="M17" s="1">
        <f>Data!R9/Data!R5</f>
        <v>-8.3073185386434E-3</v>
      </c>
      <c r="N17" s="1">
        <f>Data!T9/Data!T5</f>
        <v>9.4508569633724934E-2</v>
      </c>
      <c r="O17" s="1">
        <f>Data!U9/Data!U5</f>
        <v>0.1030613172120084</v>
      </c>
      <c r="P17" s="1">
        <f>Data!W9/Data!W5</f>
        <v>4.6686119216340138E-2</v>
      </c>
      <c r="Q17" s="1">
        <f>Data!X9/Data!X5</f>
        <v>4.2003789430561246E-2</v>
      </c>
      <c r="R17" s="1">
        <f>Data!Z9/Data!Z5</f>
        <v>5.9900988173803481E-2</v>
      </c>
      <c r="S17" s="1">
        <f>Data!AA9/Data!AA5</f>
        <v>5.7149346492948734E-2</v>
      </c>
      <c r="T17" s="1">
        <f>Data!AC9/Data!AC5</f>
        <v>0.12779802186361269</v>
      </c>
      <c r="U17" s="1">
        <f>Data!AD9/Data!AD5</f>
        <v>0.11900425015179114</v>
      </c>
    </row>
    <row r="18" spans="1:21" x14ac:dyDescent="0.35">
      <c r="A18" s="8" t="s">
        <v>3</v>
      </c>
      <c r="B18" s="1">
        <f>Data!B9/((Data!B20+Data!C20)/2)</f>
        <v>0.46701652426594958</v>
      </c>
      <c r="C18" s="1">
        <f>Data!C9/((Data!C20+Data!D20)/2)</f>
        <v>0.45759487333533594</v>
      </c>
      <c r="D18" s="1">
        <f>Data!E9/((Data!E20+Data!F20)/2)</f>
        <v>0.27441722842587352</v>
      </c>
      <c r="E18" s="1">
        <f>Data!F9/((Data!F20+Data!G20)/2)</f>
        <v>0.21945099376000152</v>
      </c>
      <c r="F18" s="1">
        <f>Data!H9/((Data!H20+Data!I20)/2)</f>
        <v>0.73685561552234213</v>
      </c>
      <c r="G18" s="1">
        <f>Data!I9/((Data!I20+Data!J20)/2)</f>
        <v>0.55917221139980267</v>
      </c>
      <c r="H18" s="1">
        <f>Data!K9/((Data!K20+Data!L20)/2)</f>
        <v>-2.8170861601263465E-2</v>
      </c>
      <c r="I18" s="1">
        <f>Data!L9/((Data!L20+Data!M20)/2)</f>
        <v>7.0234299602342495E-2</v>
      </c>
      <c r="J18" s="1">
        <f>Data!N9/((Data!N20+Data!O20)/2)</f>
        <v>0.12961486672070635</v>
      </c>
      <c r="K18" s="1">
        <f>Data!O9/((Data!O20+Data!P20)/2)</f>
        <v>0.16992264324111706</v>
      </c>
      <c r="L18" s="1">
        <f>Data!Q9/((Data!Q20+Data!R20)/2)</f>
        <v>0.90032227488151662</v>
      </c>
      <c r="M18" s="1">
        <f>Data!R9/((Data!R20+Data!S20)/2)</f>
        <v>0.16121673003802281</v>
      </c>
      <c r="N18" s="1">
        <f>Data!T9/((Data!T20+Data!U20)/2)</f>
        <v>0.14698805692294531</v>
      </c>
      <c r="O18" s="1">
        <f>Data!U9/((Data!U20+Data!V20)/2)</f>
        <v>0.16977901717319496</v>
      </c>
      <c r="P18" s="1">
        <f>Data!W9/((Data!W20+Data!X20)/2)</f>
        <v>0.33250865907966354</v>
      </c>
      <c r="Q18" s="1">
        <f>Data!X9/((Data!X20+Data!Y20)/2)</f>
        <v>0.2837008214440121</v>
      </c>
      <c r="R18" s="1">
        <f>Data!Z9/((Data!Z20+Data!AA20)/2)</f>
        <v>0.23214595217820513</v>
      </c>
      <c r="S18" s="1">
        <f>Data!AA9/((Data!AA20+Data!AB20)/2)</f>
        <v>0.23378861211767984</v>
      </c>
      <c r="T18" s="1">
        <f>Data!AC9/((Data!AC20+Data!AD20)/2)</f>
        <v>0.10591788308046307</v>
      </c>
      <c r="U18" s="1">
        <f>Data!AD9/((Data!AD20+Data!AE20)/2)</f>
        <v>0.10777267192961784</v>
      </c>
    </row>
    <row r="19" spans="1:21" x14ac:dyDescent="0.35">
      <c r="A19" s="8" t="s">
        <v>2</v>
      </c>
      <c r="B19" s="1">
        <f>Data!B9/((Data!B16+Data!C16)/2)</f>
        <v>0.11703966175016033</v>
      </c>
      <c r="C19" s="1">
        <f>Data!C9/((Data!C16+Data!D16)/2)</f>
        <v>0.11261844034549465</v>
      </c>
      <c r="D19" s="1">
        <f>Data!E9/((Data!E16+Data!F16)/2)</f>
        <v>7.8072186852059591E-2</v>
      </c>
      <c r="E19" s="1">
        <f>Data!F9/((Data!F16+Data!G16)/2)</f>
        <v>5.9747973683667785E-2</v>
      </c>
      <c r="F19" s="1">
        <f>Data!H9/((Data!H16+Data!I16)/2)</f>
        <v>0.1733413445570981</v>
      </c>
      <c r="G19" s="1">
        <f>Data!I9/((Data!I16+Data!J16)/2)</f>
        <v>0.15692355315864881</v>
      </c>
      <c r="H19" s="1">
        <f>Data!K9/((Data!K16+Data!L16)/2)</f>
        <v>-9.9663087161114879E-3</v>
      </c>
      <c r="I19" s="1">
        <f>Data!L9/((Data!L16+Data!M16)/2)</f>
        <v>2.565680971414807E-2</v>
      </c>
      <c r="J19" s="1">
        <f>Data!N9/((Data!N16+Data!O16)/2)</f>
        <v>4.9616490276983519E-2</v>
      </c>
      <c r="K19" s="1">
        <f>Data!O9/((Data!O16+Data!P16)/2)</f>
        <v>6.9637257104895517E-2</v>
      </c>
      <c r="L19" s="1">
        <f>Data!Q9/((Data!Q16+Data!R16)/2)</f>
        <v>-8.3097413572880835E-2</v>
      </c>
      <c r="M19" s="1">
        <f>Data!R9/((Data!R16+Data!S16)/2)</f>
        <v>-5.0680521467503905E-3</v>
      </c>
      <c r="N19" s="1">
        <f>Data!T9/((Data!T16+Data!U16)/2)</f>
        <v>0.10080119725024068</v>
      </c>
      <c r="O19" s="1">
        <f>Data!U9/((Data!U16+Data!V16)/2)</f>
        <v>0.12045882371473635</v>
      </c>
      <c r="P19" s="1">
        <f>Data!W9/((Data!W16+Data!X16)/2)</f>
        <v>9.2909483446244168E-2</v>
      </c>
      <c r="Q19" s="1">
        <f>Data!X9/((Data!X16+Data!Y16)/2)</f>
        <v>7.8054931068527039E-2</v>
      </c>
      <c r="R19" s="1">
        <f>Data!Z9/((Data!Z16+Data!AA16)/2)</f>
        <v>8.2995220621911864E-2</v>
      </c>
      <c r="S19" s="1">
        <f>Data!AA9/((Data!AA16+Data!AB16)/2)</f>
        <v>8.4873202293704583E-2</v>
      </c>
      <c r="T19" s="1">
        <f>Data!AC9/((Data!AC16+Data!AD16)/2)</f>
        <v>2.8217039413821178E-2</v>
      </c>
      <c r="U19" s="1">
        <f>Data!AD9/((Data!AD16+Data!AE16)/2)</f>
        <v>2.845439933634054E-2</v>
      </c>
    </row>
    <row r="20" spans="1:21" x14ac:dyDescent="0.35">
      <c r="A20" s="6" t="s">
        <v>8</v>
      </c>
      <c r="B20" s="2">
        <f>Data!B5/((Data!B16+Data!C16)/2)</f>
        <v>0.69962935991217678</v>
      </c>
      <c r="C20" s="2">
        <f>Data!C5/((Data!C16+Data!D16)/2)</f>
        <v>0.79192695819317638</v>
      </c>
      <c r="D20" s="2">
        <f>Data!E5/((Data!E16+Data!F16)/2)</f>
        <v>1.4130073950988484</v>
      </c>
      <c r="E20" s="2">
        <f>Data!F5/((Data!F16+Data!G16)/2)</f>
        <v>1.4463773795037844</v>
      </c>
      <c r="F20" s="2">
        <f>Data!H5/((Data!H16+Data!I16)/2)</f>
        <v>0.82884463258072116</v>
      </c>
      <c r="G20" s="2">
        <f>Data!I5/((Data!I16+Data!J16)/2)</f>
        <v>0.73887774213656976</v>
      </c>
      <c r="H20" s="2">
        <f>Data!K5/((Data!K16+Data!L16)/2)</f>
        <v>0.31883277799949883</v>
      </c>
      <c r="I20" s="2">
        <f>Data!L5/((Data!L16+Data!M16)/2)</f>
        <v>0.33444851241263535</v>
      </c>
      <c r="J20" s="2">
        <f>Data!N5/((Data!N16+Data!O16)/2)</f>
        <v>0.60470161635692699</v>
      </c>
      <c r="K20" s="2">
        <f>Data!O5/((Data!O16+Data!P16)/2)</f>
        <v>0.61362459578542194</v>
      </c>
      <c r="L20" s="2">
        <f>Data!Q5/((Data!Q16+Data!R16)/2)</f>
        <v>0.40703944905008033</v>
      </c>
      <c r="M20" s="2">
        <f>Data!R5/((Data!R16+Data!S16)/2)</f>
        <v>0.6100707614828037</v>
      </c>
      <c r="N20" s="2">
        <f>Data!T5/((Data!T16+Data!U16)/2)</f>
        <v>1.0665826140518611</v>
      </c>
      <c r="O20" s="2">
        <f>Data!U5/((Data!U16+Data!V16)/2)</f>
        <v>1.168807336965618</v>
      </c>
      <c r="P20" s="2">
        <f>Data!W5/((Data!W16+Data!X16)/2)</f>
        <v>1.9900879534601763</v>
      </c>
      <c r="Q20" s="2">
        <f>Data!X5/((Data!X16+Data!Y16)/2)</f>
        <v>1.8582830769962768</v>
      </c>
      <c r="R20" s="2">
        <f>Data!Z5/((Data!Z16+Data!AA16)/2)</f>
        <v>1.3855400912769615</v>
      </c>
      <c r="S20" s="2">
        <f>Data!AA5/((Data!AA16+Data!AB16)/2)</f>
        <v>1.4851123853914323</v>
      </c>
      <c r="T20" s="2">
        <f>Data!AC5/((Data!AC16+Data!AD16)/2)</f>
        <v>0.22079402327474737</v>
      </c>
      <c r="U20" s="2">
        <f>Data!AD5/((Data!AD16+Data!AE16)/2)</f>
        <v>0.23910405972935136</v>
      </c>
    </row>
    <row r="21" spans="1:21" x14ac:dyDescent="0.35">
      <c r="A21" s="8" t="s">
        <v>4</v>
      </c>
      <c r="B21" s="4">
        <f>Data!B19/Data!B20</f>
        <v>2.6612790967442579</v>
      </c>
      <c r="C21" s="4">
        <f>Data!C19/Data!C20</f>
        <v>3.4103298439660281</v>
      </c>
      <c r="D21" s="4">
        <f>Data!E19/Data!E20</f>
        <v>2.4387713588283155</v>
      </c>
      <c r="E21" s="4">
        <f>Data!F19/Data!F20</f>
        <v>2.6295198195294875</v>
      </c>
      <c r="F21" s="4">
        <f>Data!H19/Data!H20</f>
        <v>3.9570394404566951</v>
      </c>
      <c r="G21" s="4">
        <f>Data!I19/Data!I20</f>
        <v>2.7410043320661304</v>
      </c>
      <c r="H21" s="4">
        <f>Data!K19/Data!K20</f>
        <v>1.9332794019192145</v>
      </c>
      <c r="I21" s="4">
        <f>Data!L19/Data!L20</f>
        <v>1.7319272633632772</v>
      </c>
      <c r="J21" s="4">
        <f>Data!N19/Data!N20</f>
        <v>1.9228412480851407</v>
      </c>
      <c r="K21" s="4">
        <f>Data!O19/Data!O20</f>
        <v>1.3916546333860507</v>
      </c>
      <c r="L21" s="4">
        <f>Data!Q19/Data!Q20</f>
        <v>-9.4169294605809135</v>
      </c>
      <c r="M21" s="4">
        <f>Data!R19/Data!R20</f>
        <v>-17.099397590361445</v>
      </c>
      <c r="N21" s="4">
        <f>Data!T19/Data!T20</f>
        <v>0.54086775693798417</v>
      </c>
      <c r="O21" s="4">
        <f>Data!U19/Data!U20</f>
        <v>0.36848470222519991</v>
      </c>
      <c r="P21" s="4">
        <f>Data!W19/Data!W20</f>
        <v>2.5490304709141274</v>
      </c>
      <c r="Q21" s="4">
        <f>Data!X19/Data!X20</f>
        <v>2.6152285979886756</v>
      </c>
      <c r="R21" s="4">
        <f>Data!Z19/Data!Z20</f>
        <v>1.7968783226300344</v>
      </c>
      <c r="S21" s="4">
        <f>Data!AA19/Data!AA20</f>
        <v>1.7973520800489045</v>
      </c>
      <c r="T21" s="4">
        <f>Data!AC19/Data!AC20</f>
        <v>2.7020240137221267</v>
      </c>
      <c r="U21" s="4">
        <f>Data!AD19/Data!AD20</f>
        <v>2.8105597099478814</v>
      </c>
    </row>
    <row r="22" spans="1:21" x14ac:dyDescent="0.35">
      <c r="A22" s="6" t="s">
        <v>48</v>
      </c>
      <c r="B22" s="9">
        <f>Data!B21/Data!B11</f>
        <v>21.856323922734028</v>
      </c>
      <c r="C22" s="9"/>
      <c r="D22" s="9">
        <f>Data!E21/Data!E11</f>
        <v>74.961558295438564</v>
      </c>
      <c r="E22" s="9"/>
      <c r="F22" s="9">
        <f>Data!H21/Data!H11</f>
        <v>38.05223389245964</v>
      </c>
      <c r="G22" s="9"/>
      <c r="H22" s="9">
        <f>Data!K21/Data!K11</f>
        <v>-38.773333333333333</v>
      </c>
      <c r="I22" s="9"/>
      <c r="J22" s="9">
        <f>Data!N21/Data!N11</f>
        <v>63.179160636758326</v>
      </c>
      <c r="K22" s="9"/>
      <c r="L22" s="9">
        <f>Data!Q21/Data!Q11</f>
        <v>-12.100574712643679</v>
      </c>
      <c r="M22" s="9"/>
      <c r="N22" s="9">
        <f>Data!T21/Data!T11</f>
        <v>29.137439416264169</v>
      </c>
      <c r="O22" s="9"/>
      <c r="P22" s="9">
        <f>Data!W21/Data!W11</f>
        <v>26.461431776556779</v>
      </c>
      <c r="Q22" s="9"/>
      <c r="R22" s="9">
        <f>Data!Z21/Data!Z11</f>
        <v>24.659952606635073</v>
      </c>
      <c r="S22" s="9"/>
      <c r="T22" s="9">
        <f>Data!AC21/Data!AC11</f>
        <v>25.087060420909712</v>
      </c>
      <c r="U22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0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2" sqref="A2"/>
      <selection pane="bottomRight" sqref="A1:D21"/>
    </sheetView>
  </sheetViews>
  <sheetFormatPr defaultRowHeight="14.5" x14ac:dyDescent="0.35"/>
  <cols>
    <col min="1" max="1" width="21.08984375" style="11" bestFit="1" customWidth="1"/>
    <col min="2" max="4" width="7.6328125" style="11" bestFit="1" customWidth="1"/>
    <col min="5" max="5" width="9.1796875" style="11" bestFit="1" customWidth="1"/>
    <col min="6" max="7" width="8.6328125" style="11" bestFit="1" customWidth="1"/>
    <col min="8" max="8" width="9.1796875" style="11" bestFit="1" customWidth="1"/>
    <col min="9" max="19" width="8.7265625" style="11"/>
    <col min="20" max="22" width="10.1796875" style="11" bestFit="1" customWidth="1"/>
    <col min="23" max="16384" width="8.7265625" style="11"/>
  </cols>
  <sheetData>
    <row r="1" spans="1:31" x14ac:dyDescent="0.35">
      <c r="B1" s="11" t="s">
        <v>23</v>
      </c>
      <c r="C1" s="11" t="s">
        <v>23</v>
      </c>
      <c r="D1" s="11" t="s">
        <v>23</v>
      </c>
      <c r="E1" s="13" t="s">
        <v>34</v>
      </c>
      <c r="F1" s="13" t="s">
        <v>34</v>
      </c>
      <c r="G1" s="13" t="s">
        <v>34</v>
      </c>
      <c r="H1" s="13" t="s">
        <v>33</v>
      </c>
      <c r="I1" s="13" t="s">
        <v>33</v>
      </c>
      <c r="J1" s="13" t="s">
        <v>33</v>
      </c>
      <c r="K1" s="13" t="s">
        <v>35</v>
      </c>
      <c r="L1" s="13" t="s">
        <v>35</v>
      </c>
      <c r="M1" s="13" t="s">
        <v>35</v>
      </c>
      <c r="N1" s="13" t="s">
        <v>28</v>
      </c>
      <c r="O1" s="13" t="s">
        <v>28</v>
      </c>
      <c r="P1" s="13" t="s">
        <v>28</v>
      </c>
      <c r="Q1" s="13" t="s">
        <v>56</v>
      </c>
      <c r="R1" s="13" t="s">
        <v>56</v>
      </c>
      <c r="S1" s="13" t="s">
        <v>56</v>
      </c>
      <c r="T1" s="13" t="s">
        <v>57</v>
      </c>
      <c r="U1" s="13" t="s">
        <v>57</v>
      </c>
      <c r="V1" s="13" t="s">
        <v>57</v>
      </c>
      <c r="W1" s="13" t="s">
        <v>27</v>
      </c>
      <c r="X1" s="13" t="s">
        <v>27</v>
      </c>
      <c r="Y1" s="13" t="s">
        <v>27</v>
      </c>
      <c r="Z1" s="13" t="s">
        <v>58</v>
      </c>
      <c r="AA1" s="13" t="s">
        <v>58</v>
      </c>
      <c r="AB1" s="13" t="s">
        <v>58</v>
      </c>
      <c r="AC1" s="13" t="s">
        <v>29</v>
      </c>
      <c r="AD1" s="13" t="s">
        <v>29</v>
      </c>
      <c r="AE1" s="13" t="s">
        <v>29</v>
      </c>
    </row>
    <row r="2" spans="1:31" x14ac:dyDescent="0.35">
      <c r="B2" s="11" t="s">
        <v>25</v>
      </c>
      <c r="C2" s="11" t="s">
        <v>25</v>
      </c>
      <c r="D2" s="11" t="s">
        <v>25</v>
      </c>
      <c r="E2" s="11" t="s">
        <v>37</v>
      </c>
      <c r="F2" s="11" t="s">
        <v>37</v>
      </c>
      <c r="G2" s="11" t="s">
        <v>37</v>
      </c>
      <c r="H2" s="11" t="s">
        <v>36</v>
      </c>
      <c r="I2" s="11" t="s">
        <v>36</v>
      </c>
      <c r="J2" s="11" t="s">
        <v>36</v>
      </c>
      <c r="K2" s="11" t="s">
        <v>39</v>
      </c>
      <c r="L2" s="11" t="s">
        <v>39</v>
      </c>
      <c r="M2" s="11" t="s">
        <v>39</v>
      </c>
      <c r="N2" s="11" t="s">
        <v>26</v>
      </c>
      <c r="O2" s="11" t="s">
        <v>26</v>
      </c>
      <c r="P2" s="11" t="s">
        <v>26</v>
      </c>
      <c r="Q2" s="11" t="s">
        <v>50</v>
      </c>
      <c r="R2" s="11" t="s">
        <v>50</v>
      </c>
      <c r="S2" s="11" t="s">
        <v>50</v>
      </c>
      <c r="T2" s="11" t="s">
        <v>53</v>
      </c>
      <c r="U2" s="11" t="s">
        <v>53</v>
      </c>
      <c r="V2" s="11" t="s">
        <v>53</v>
      </c>
      <c r="W2" s="11" t="s">
        <v>22</v>
      </c>
      <c r="X2" s="11" t="s">
        <v>22</v>
      </c>
      <c r="Y2" s="11" t="s">
        <v>22</v>
      </c>
      <c r="Z2" s="11" t="s">
        <v>24</v>
      </c>
      <c r="AA2" s="11" t="s">
        <v>24</v>
      </c>
      <c r="AB2" s="11" t="s">
        <v>24</v>
      </c>
      <c r="AC2" s="11" t="s">
        <v>30</v>
      </c>
      <c r="AD2" s="11" t="s">
        <v>30</v>
      </c>
      <c r="AE2" s="11" t="s">
        <v>30</v>
      </c>
    </row>
    <row r="3" spans="1:31" x14ac:dyDescent="0.35">
      <c r="B3" s="12">
        <v>44561</v>
      </c>
      <c r="C3" s="12">
        <v>44561</v>
      </c>
      <c r="D3" s="12">
        <v>44561</v>
      </c>
      <c r="E3" s="12">
        <v>44561</v>
      </c>
      <c r="F3" s="12">
        <v>44561</v>
      </c>
      <c r="G3" s="12">
        <v>44561</v>
      </c>
      <c r="H3" s="12">
        <v>44469</v>
      </c>
      <c r="I3" s="12">
        <v>44469</v>
      </c>
      <c r="J3" s="12">
        <v>44469</v>
      </c>
      <c r="K3" s="12">
        <v>44561</v>
      </c>
      <c r="L3" s="12">
        <v>44561</v>
      </c>
      <c r="M3" s="12">
        <v>44561</v>
      </c>
      <c r="N3" s="12">
        <v>44561</v>
      </c>
      <c r="O3" s="12">
        <v>44561</v>
      </c>
      <c r="P3" s="12">
        <v>44561</v>
      </c>
      <c r="Q3" s="12">
        <v>44561</v>
      </c>
      <c r="R3" s="12">
        <v>44561</v>
      </c>
      <c r="S3" s="12">
        <v>44561</v>
      </c>
      <c r="T3" s="12">
        <v>44500</v>
      </c>
      <c r="U3" s="12">
        <v>44500</v>
      </c>
      <c r="V3" s="12">
        <v>44500</v>
      </c>
      <c r="W3" s="12">
        <v>44227</v>
      </c>
      <c r="X3" s="12">
        <v>44227</v>
      </c>
      <c r="Y3" s="12">
        <v>44227</v>
      </c>
      <c r="Z3" s="12">
        <v>44561</v>
      </c>
      <c r="AA3" s="12">
        <v>44561</v>
      </c>
      <c r="AB3" s="12">
        <v>44561</v>
      </c>
      <c r="AC3" s="12">
        <v>44561</v>
      </c>
      <c r="AD3" s="12">
        <v>44561</v>
      </c>
      <c r="AE3" s="12">
        <v>44561</v>
      </c>
    </row>
    <row r="4" spans="1:31" x14ac:dyDescent="0.35">
      <c r="B4" s="11">
        <v>2020</v>
      </c>
      <c r="C4" s="13">
        <v>2019</v>
      </c>
      <c r="D4" s="13">
        <v>2018</v>
      </c>
      <c r="E4" s="11">
        <v>2020</v>
      </c>
      <c r="F4" s="13">
        <v>2019</v>
      </c>
      <c r="G4" s="13">
        <v>2018</v>
      </c>
      <c r="H4" s="11">
        <v>2020</v>
      </c>
      <c r="I4" s="13">
        <v>2019</v>
      </c>
      <c r="J4" s="13">
        <v>2018</v>
      </c>
      <c r="K4" s="11">
        <v>2020</v>
      </c>
      <c r="L4" s="13">
        <v>2019</v>
      </c>
      <c r="M4" s="13">
        <v>2018</v>
      </c>
      <c r="N4" s="11">
        <v>2020</v>
      </c>
      <c r="O4" s="13">
        <v>2019</v>
      </c>
      <c r="P4" s="13">
        <v>2018</v>
      </c>
      <c r="Q4" s="11">
        <v>2020</v>
      </c>
      <c r="R4" s="13">
        <v>2019</v>
      </c>
      <c r="S4" s="13">
        <v>2018</v>
      </c>
      <c r="T4" s="11">
        <v>2020</v>
      </c>
      <c r="U4" s="13">
        <v>2019</v>
      </c>
      <c r="V4" s="13">
        <v>2018</v>
      </c>
      <c r="W4" s="11">
        <v>2020</v>
      </c>
      <c r="X4" s="13">
        <v>2019</v>
      </c>
      <c r="Y4" s="13">
        <v>2018</v>
      </c>
      <c r="Z4" s="11">
        <v>2020</v>
      </c>
      <c r="AA4" s="13">
        <v>2019</v>
      </c>
      <c r="AB4" s="13">
        <v>2018</v>
      </c>
      <c r="AC4" s="11">
        <v>2020</v>
      </c>
      <c r="AD4" s="13">
        <v>2019</v>
      </c>
      <c r="AE4" s="13">
        <v>2018</v>
      </c>
    </row>
    <row r="5" spans="1:31" x14ac:dyDescent="0.35">
      <c r="A5" s="11" t="s">
        <v>12</v>
      </c>
      <c r="B5" s="14">
        <v>32184</v>
      </c>
      <c r="C5" s="14">
        <v>32136</v>
      </c>
      <c r="D5" s="14">
        <v>32765</v>
      </c>
      <c r="E5" s="14">
        <v>386064</v>
      </c>
      <c r="F5" s="14">
        <v>280522</v>
      </c>
      <c r="G5" s="14">
        <v>232887</v>
      </c>
      <c r="H5" s="14">
        <v>274515</v>
      </c>
      <c r="I5" s="14">
        <v>260174</v>
      </c>
      <c r="J5" s="14">
        <v>265595</v>
      </c>
      <c r="K5" s="14">
        <v>171760</v>
      </c>
      <c r="L5" s="14">
        <v>181193</v>
      </c>
      <c r="M5" s="14">
        <v>170756</v>
      </c>
      <c r="N5" s="14">
        <v>11790.2</v>
      </c>
      <c r="O5" s="14">
        <v>12562</v>
      </c>
      <c r="P5" s="14">
        <v>12222.1</v>
      </c>
      <c r="Q5" s="14">
        <v>58158</v>
      </c>
      <c r="R5" s="14">
        <v>76559</v>
      </c>
      <c r="S5" s="14">
        <v>101127</v>
      </c>
      <c r="T5" s="14">
        <v>9608462</v>
      </c>
      <c r="U5" s="14">
        <v>9497317</v>
      </c>
      <c r="V5" s="14">
        <v>9545700</v>
      </c>
      <c r="W5" s="14">
        <v>93561</v>
      </c>
      <c r="X5" s="14">
        <v>78112</v>
      </c>
      <c r="Y5" s="14">
        <v>75356</v>
      </c>
      <c r="Z5" s="14">
        <v>257141</v>
      </c>
      <c r="AA5" s="14">
        <v>242155</v>
      </c>
      <c r="AB5" s="14">
        <v>226247</v>
      </c>
      <c r="AC5" s="14">
        <v>11526</v>
      </c>
      <c r="AD5" s="14">
        <v>11529</v>
      </c>
      <c r="AE5" s="14">
        <v>11537</v>
      </c>
    </row>
    <row r="6" spans="1:31" x14ac:dyDescent="0.35">
      <c r="A6" s="11" t="s">
        <v>16</v>
      </c>
      <c r="B6" s="14">
        <v>16605</v>
      </c>
      <c r="C6" s="14">
        <v>17136</v>
      </c>
      <c r="D6" s="15"/>
      <c r="E6" s="14">
        <v>233307</v>
      </c>
      <c r="F6" s="14">
        <v>165536</v>
      </c>
      <c r="G6" s="15"/>
      <c r="H6" s="14">
        <v>169559</v>
      </c>
      <c r="I6" s="14">
        <v>161782</v>
      </c>
      <c r="J6" s="15"/>
      <c r="K6" s="14">
        <v>32909</v>
      </c>
      <c r="L6" s="14">
        <v>34356</v>
      </c>
      <c r="M6" s="15"/>
      <c r="N6" s="14">
        <v>6905.8</v>
      </c>
      <c r="O6" s="14">
        <v>7045.8</v>
      </c>
      <c r="P6" s="15"/>
      <c r="Q6" s="14">
        <v>63843</v>
      </c>
      <c r="R6" s="14">
        <v>72093</v>
      </c>
      <c r="S6" s="15"/>
      <c r="T6" s="14">
        <v>7782498</v>
      </c>
      <c r="U6" s="14">
        <v>7612669</v>
      </c>
      <c r="V6" s="15"/>
      <c r="W6" s="14">
        <v>66177</v>
      </c>
      <c r="X6" s="14">
        <v>54864</v>
      </c>
      <c r="Y6" s="15"/>
      <c r="Z6" s="14">
        <f>159396+30745</f>
        <v>190141</v>
      </c>
      <c r="AA6" s="14">
        <f>156440+28117</f>
        <v>184557</v>
      </c>
      <c r="AB6" s="15"/>
      <c r="AC6" s="14">
        <f>3512+689+37</f>
        <v>4238</v>
      </c>
      <c r="AD6" s="14">
        <f>3510+918+40</f>
        <v>4468</v>
      </c>
      <c r="AE6" s="15"/>
    </row>
    <row r="7" spans="1:31" x14ac:dyDescent="0.35">
      <c r="A7" s="11" t="s">
        <v>13</v>
      </c>
      <c r="B7" s="15">
        <f>B5-B6</f>
        <v>15579</v>
      </c>
      <c r="C7" s="15">
        <f>C5-C6</f>
        <v>15000</v>
      </c>
      <c r="D7" s="15"/>
      <c r="E7" s="15">
        <f>E5-E6</f>
        <v>152757</v>
      </c>
      <c r="F7" s="15">
        <f>F5-F6</f>
        <v>114986</v>
      </c>
      <c r="G7" s="15"/>
      <c r="H7" s="15">
        <f>H5-H6</f>
        <v>104956</v>
      </c>
      <c r="I7" s="15">
        <f>I5-I6</f>
        <v>98392</v>
      </c>
      <c r="J7" s="15"/>
      <c r="K7" s="15">
        <f>K5-K6</f>
        <v>138851</v>
      </c>
      <c r="L7" s="15">
        <f>L5-L6</f>
        <v>146837</v>
      </c>
      <c r="M7" s="15"/>
      <c r="N7" s="15">
        <f>N5-N6</f>
        <v>4884.4000000000005</v>
      </c>
      <c r="O7" s="15">
        <f>O5-O6</f>
        <v>5516.2</v>
      </c>
      <c r="P7" s="15"/>
      <c r="Q7" s="15">
        <f>Q5-Q6</f>
        <v>-5685</v>
      </c>
      <c r="R7" s="15">
        <f>R5-R6</f>
        <v>4466</v>
      </c>
      <c r="S7" s="15"/>
      <c r="T7" s="15">
        <f>T5-T6</f>
        <v>1825964</v>
      </c>
      <c r="U7" s="15">
        <f>U5-U6</f>
        <v>1884648</v>
      </c>
      <c r="V7" s="15"/>
      <c r="W7" s="15">
        <f>W5-W6</f>
        <v>27384</v>
      </c>
      <c r="X7" s="15">
        <f>X5-X6</f>
        <v>23248</v>
      </c>
      <c r="Y7" s="15"/>
      <c r="Z7" s="15">
        <f>Z5-Z6</f>
        <v>67000</v>
      </c>
      <c r="AA7" s="15">
        <f>AA5-AA6</f>
        <v>57598</v>
      </c>
      <c r="AB7" s="15"/>
      <c r="AC7" s="15">
        <f>AC5-AC6</f>
        <v>7288</v>
      </c>
      <c r="AD7" s="15">
        <f>AD5-AD6</f>
        <v>7061</v>
      </c>
      <c r="AE7" s="15"/>
    </row>
    <row r="8" spans="1:31" x14ac:dyDescent="0.35">
      <c r="A8" s="11" t="s">
        <v>44</v>
      </c>
      <c r="B8" s="14">
        <v>7161</v>
      </c>
      <c r="C8" s="14">
        <v>6174</v>
      </c>
      <c r="D8" s="15"/>
      <c r="E8" s="14">
        <v>22899</v>
      </c>
      <c r="F8" s="14">
        <v>14541</v>
      </c>
      <c r="G8" s="15"/>
      <c r="H8" s="14">
        <v>66288</v>
      </c>
      <c r="I8" s="14">
        <v>63930</v>
      </c>
      <c r="J8" s="15"/>
      <c r="K8" s="14">
        <v>6405</v>
      </c>
      <c r="L8" s="14">
        <v>27955</v>
      </c>
      <c r="M8" s="15"/>
      <c r="N8" s="14">
        <v>1395.7</v>
      </c>
      <c r="O8" s="14">
        <v>1845.2</v>
      </c>
      <c r="P8" s="15"/>
      <c r="Q8" s="14">
        <v>-12767</v>
      </c>
      <c r="R8" s="14">
        <v>-1975</v>
      </c>
      <c r="S8" s="15"/>
      <c r="T8" s="14">
        <v>1100220</v>
      </c>
      <c r="U8" s="14">
        <v>1196265</v>
      </c>
      <c r="V8" s="15"/>
      <c r="W8" s="14">
        <v>6539</v>
      </c>
      <c r="X8" s="14">
        <v>4658</v>
      </c>
      <c r="Y8" s="15"/>
      <c r="Z8" s="14">
        <v>22405</v>
      </c>
      <c r="AA8" s="14">
        <v>19685</v>
      </c>
      <c r="AB8" s="15"/>
      <c r="AC8" s="14">
        <v>2116</v>
      </c>
      <c r="AD8" s="14">
        <v>2104</v>
      </c>
      <c r="AE8" s="15"/>
    </row>
    <row r="9" spans="1:31" x14ac:dyDescent="0.35">
      <c r="A9" s="11" t="s">
        <v>11</v>
      </c>
      <c r="B9" s="14">
        <v>5384</v>
      </c>
      <c r="C9" s="14">
        <v>4570</v>
      </c>
      <c r="D9" s="14">
        <v>5349</v>
      </c>
      <c r="E9" s="14">
        <v>21331</v>
      </c>
      <c r="F9" s="14">
        <v>11588</v>
      </c>
      <c r="G9" s="14">
        <v>10073</v>
      </c>
      <c r="H9" s="14">
        <v>57411</v>
      </c>
      <c r="I9" s="14">
        <v>55256</v>
      </c>
      <c r="J9" s="14">
        <v>59531</v>
      </c>
      <c r="K9" s="14">
        <v>-5369</v>
      </c>
      <c r="L9" s="14">
        <v>13900</v>
      </c>
      <c r="M9" s="14">
        <v>19370</v>
      </c>
      <c r="N9" s="14">
        <v>967.4</v>
      </c>
      <c r="O9" s="14">
        <v>1425.6</v>
      </c>
      <c r="P9" s="14">
        <v>1250.3</v>
      </c>
      <c r="Q9" s="14">
        <v>-11873</v>
      </c>
      <c r="R9" s="14">
        <v>-636</v>
      </c>
      <c r="S9" s="14">
        <v>10460</v>
      </c>
      <c r="T9" s="14">
        <v>908082</v>
      </c>
      <c r="U9" s="14">
        <v>978806</v>
      </c>
      <c r="V9" s="14">
        <v>1012140</v>
      </c>
      <c r="W9" s="14">
        <v>4368</v>
      </c>
      <c r="X9" s="14">
        <v>3281</v>
      </c>
      <c r="Y9" s="14">
        <v>2937</v>
      </c>
      <c r="Z9" s="14">
        <v>15403</v>
      </c>
      <c r="AA9" s="14">
        <v>13839</v>
      </c>
      <c r="AB9" s="14">
        <v>11986</v>
      </c>
      <c r="AC9" s="14">
        <v>1473</v>
      </c>
      <c r="AD9" s="14">
        <v>1372</v>
      </c>
      <c r="AE9" s="14">
        <v>1261</v>
      </c>
    </row>
    <row r="10" spans="1:31" x14ac:dyDescent="0.35">
      <c r="A10" s="11" t="s">
        <v>54</v>
      </c>
      <c r="B10" s="14">
        <v>577.6</v>
      </c>
      <c r="C10" s="14">
        <v>577</v>
      </c>
      <c r="D10" s="14">
        <v>588.5</v>
      </c>
      <c r="E10" s="14">
        <v>500</v>
      </c>
      <c r="F10" s="14">
        <v>494</v>
      </c>
      <c r="G10" s="14">
        <v>487</v>
      </c>
      <c r="H10" s="14">
        <v>17352</v>
      </c>
      <c r="I10" s="14">
        <v>18471</v>
      </c>
      <c r="J10" s="14">
        <v>19821</v>
      </c>
      <c r="K10" s="14"/>
      <c r="L10" s="14"/>
      <c r="M10" s="14"/>
      <c r="N10" s="14">
        <v>287</v>
      </c>
      <c r="O10" s="14">
        <v>288.10000000000002</v>
      </c>
      <c r="P10" s="14">
        <v>288.60000000000002</v>
      </c>
      <c r="Q10" s="14"/>
      <c r="R10" s="14"/>
      <c r="S10" s="14"/>
      <c r="T10" s="14">
        <v>538007</v>
      </c>
      <c r="U10" s="14">
        <v>534578</v>
      </c>
      <c r="V10" s="14">
        <v>530742</v>
      </c>
      <c r="W10" s="14">
        <v>500.6</v>
      </c>
      <c r="X10" s="14">
        <v>510.9</v>
      </c>
      <c r="Y10" s="14">
        <v>528.6</v>
      </c>
      <c r="Z10" s="14">
        <v>949</v>
      </c>
      <c r="AA10" s="14">
        <v>951</v>
      </c>
      <c r="AB10" s="14">
        <v>963</v>
      </c>
      <c r="AC10" s="14">
        <v>527</v>
      </c>
      <c r="AD10" s="14">
        <v>519</v>
      </c>
      <c r="AE10" s="14">
        <v>511</v>
      </c>
    </row>
    <row r="11" spans="1:31" x14ac:dyDescent="0.35">
      <c r="A11" s="13" t="s">
        <v>55</v>
      </c>
      <c r="B11" s="16">
        <f>B9/B10</f>
        <v>9.3213296398891963</v>
      </c>
      <c r="C11" s="16">
        <f t="shared" ref="C11:D11" si="0">C9/C10</f>
        <v>7.9202772963604851</v>
      </c>
      <c r="D11" s="16">
        <f t="shared" si="0"/>
        <v>9.0892098555649952</v>
      </c>
      <c r="E11" s="16">
        <f>E9/E10</f>
        <v>42.661999999999999</v>
      </c>
      <c r="F11" s="16">
        <f t="shared" ref="F11" si="1">F9/F10</f>
        <v>23.457489878542511</v>
      </c>
      <c r="G11" s="16">
        <f t="shared" ref="G11" si="2">G9/G10</f>
        <v>20.683778234086244</v>
      </c>
      <c r="H11" s="16">
        <f>H9/H10</f>
        <v>3.3086099585062239</v>
      </c>
      <c r="I11" s="16">
        <f t="shared" ref="I11" si="3">I9/I10</f>
        <v>2.9915001894862217</v>
      </c>
      <c r="J11" s="16">
        <f t="shared" ref="J11" si="4">J9/J10</f>
        <v>3.0034307048080318</v>
      </c>
      <c r="K11" s="17">
        <v>-0.75</v>
      </c>
      <c r="L11" s="17">
        <v>1.9</v>
      </c>
      <c r="M11" s="17">
        <v>2.85</v>
      </c>
      <c r="N11" s="16">
        <f t="shared" ref="N11:P11" si="5">N9/N10</f>
        <v>3.3707317073170731</v>
      </c>
      <c r="O11" s="16">
        <f t="shared" si="5"/>
        <v>4.9482818465810476</v>
      </c>
      <c r="P11" s="16">
        <f t="shared" si="5"/>
        <v>4.332293832293832</v>
      </c>
      <c r="Q11" s="17">
        <v>-20.88</v>
      </c>
      <c r="R11" s="17">
        <v>-1.1200000000000001</v>
      </c>
      <c r="S11" s="17">
        <v>18.05</v>
      </c>
      <c r="T11" s="16">
        <f t="shared" ref="T11:V11" si="6">T9/T10</f>
        <v>1.6878627973241984</v>
      </c>
      <c r="U11" s="16">
        <f t="shared" si="6"/>
        <v>1.830988181331817</v>
      </c>
      <c r="V11" s="16">
        <f t="shared" si="6"/>
        <v>1.9070282736244728</v>
      </c>
      <c r="W11" s="16">
        <f t="shared" ref="W11:Y11" si="7">W9/W10</f>
        <v>8.7255293647622842</v>
      </c>
      <c r="X11" s="16">
        <f t="shared" si="7"/>
        <v>6.4220003914660406</v>
      </c>
      <c r="Y11" s="16">
        <f t="shared" si="7"/>
        <v>5.5561861520998859</v>
      </c>
      <c r="Z11" s="17">
        <f>Z9/Z10</f>
        <v>16.23076923076923</v>
      </c>
      <c r="AA11" s="17">
        <f t="shared" ref="AA11:AE11" si="8">AA9/AA10</f>
        <v>14.552050473186119</v>
      </c>
      <c r="AB11" s="17">
        <f t="shared" si="8"/>
        <v>12.446521287642783</v>
      </c>
      <c r="AC11" s="17">
        <f t="shared" si="8"/>
        <v>2.795066413662239</v>
      </c>
      <c r="AD11" s="17">
        <f t="shared" si="8"/>
        <v>2.6435452793834298</v>
      </c>
      <c r="AE11" s="17">
        <f t="shared" si="8"/>
        <v>2.4677103718199609</v>
      </c>
    </row>
    <row r="12" spans="1:31" x14ac:dyDescent="0.35">
      <c r="A12" s="11" t="s">
        <v>46</v>
      </c>
      <c r="B12" s="14">
        <v>1911</v>
      </c>
      <c r="C12" s="14">
        <v>1593</v>
      </c>
      <c r="D12" s="15"/>
      <c r="E12" s="14">
        <v>25251</v>
      </c>
      <c r="F12" s="14">
        <v>21789</v>
      </c>
      <c r="G12" s="15"/>
      <c r="H12" s="14">
        <v>11056</v>
      </c>
      <c r="I12" s="14">
        <v>12547</v>
      </c>
      <c r="J12" s="15"/>
      <c r="K12" s="14">
        <v>28516</v>
      </c>
      <c r="L12" s="14">
        <v>28217</v>
      </c>
      <c r="M12" s="15"/>
      <c r="N12" s="14">
        <f>594.3+218.4</f>
        <v>812.69999999999993</v>
      </c>
      <c r="O12" s="14">
        <f>569.1+206.2</f>
        <v>775.3</v>
      </c>
      <c r="P12" s="15"/>
      <c r="Q12" s="14">
        <v>2246</v>
      </c>
      <c r="R12" s="14">
        <v>2271</v>
      </c>
      <c r="S12" s="15"/>
      <c r="T12" s="14">
        <f>165716+40065</f>
        <v>205781</v>
      </c>
      <c r="U12" s="14">
        <f>153182+12027</f>
        <v>165209</v>
      </c>
      <c r="V12" s="15"/>
      <c r="W12" s="14">
        <v>2485</v>
      </c>
      <c r="X12" s="14">
        <v>2604</v>
      </c>
      <c r="Y12" s="15"/>
      <c r="Z12" s="14">
        <v>2891</v>
      </c>
      <c r="AA12" s="14">
        <v>2720</v>
      </c>
      <c r="AB12" s="15"/>
      <c r="AC12" s="14">
        <v>1959</v>
      </c>
      <c r="AD12" s="14">
        <v>1785</v>
      </c>
      <c r="AE12" s="15"/>
    </row>
    <row r="13" spans="1:31" x14ac:dyDescent="0.35">
      <c r="A13" s="11" t="s">
        <v>15</v>
      </c>
      <c r="B13" s="14">
        <v>4705</v>
      </c>
      <c r="C13" s="14">
        <v>4791</v>
      </c>
      <c r="D13" s="14">
        <v>5020</v>
      </c>
      <c r="E13" s="14">
        <v>25251</v>
      </c>
      <c r="F13" s="14">
        <v>21789</v>
      </c>
      <c r="G13" s="14">
        <v>16677</v>
      </c>
      <c r="H13" s="14">
        <v>16120</v>
      </c>
      <c r="I13" s="14">
        <v>22926</v>
      </c>
      <c r="J13" s="14">
        <v>23186</v>
      </c>
      <c r="K13" s="14">
        <v>20215</v>
      </c>
      <c r="L13" s="14">
        <v>22636</v>
      </c>
      <c r="M13" s="14">
        <v>26472</v>
      </c>
      <c r="N13" s="14">
        <v>2273.8000000000002</v>
      </c>
      <c r="O13" s="14">
        <v>2382</v>
      </c>
      <c r="P13" s="14">
        <v>2662.5</v>
      </c>
      <c r="Q13" s="14">
        <v>1955</v>
      </c>
      <c r="R13" s="14">
        <v>3266</v>
      </c>
      <c r="S13" s="14">
        <v>3879</v>
      </c>
      <c r="T13" s="14">
        <v>702419</v>
      </c>
      <c r="U13" s="14">
        <v>574396</v>
      </c>
      <c r="V13" s="14">
        <v>600438</v>
      </c>
      <c r="W13" s="14"/>
      <c r="X13" s="14"/>
      <c r="Y13" s="14"/>
      <c r="Z13" s="14">
        <v>12870</v>
      </c>
      <c r="AA13" s="14">
        <v>11822</v>
      </c>
      <c r="AB13" s="14">
        <v>11388</v>
      </c>
      <c r="AC13" s="14">
        <v>916</v>
      </c>
      <c r="AD13" s="14">
        <v>837</v>
      </c>
      <c r="AE13" s="14">
        <v>860</v>
      </c>
    </row>
    <row r="14" spans="1:31" x14ac:dyDescent="0.35">
      <c r="A14" s="11" t="s">
        <v>17</v>
      </c>
      <c r="B14" s="14">
        <v>4239</v>
      </c>
      <c r="C14" s="14">
        <v>4134</v>
      </c>
      <c r="D14" s="14">
        <v>4366</v>
      </c>
      <c r="E14" s="14">
        <v>23795</v>
      </c>
      <c r="F14" s="14">
        <v>20497</v>
      </c>
      <c r="G14" s="14">
        <v>17174</v>
      </c>
      <c r="H14" s="14">
        <v>4061</v>
      </c>
      <c r="I14" s="14">
        <v>4106</v>
      </c>
      <c r="J14" s="14">
        <v>3956</v>
      </c>
      <c r="K14" s="14"/>
      <c r="L14" s="14"/>
      <c r="M14" s="14"/>
      <c r="N14" s="14">
        <v>1285.2</v>
      </c>
      <c r="O14" s="14">
        <v>1081.5999999999999</v>
      </c>
      <c r="P14" s="14">
        <v>1546.4</v>
      </c>
      <c r="Q14" s="14">
        <v>81715</v>
      </c>
      <c r="R14" s="14">
        <v>76622</v>
      </c>
      <c r="S14" s="14">
        <v>62567</v>
      </c>
      <c r="T14" s="14">
        <v>1072762</v>
      </c>
      <c r="U14" s="14">
        <v>1042362</v>
      </c>
      <c r="V14" s="14">
        <v>963527</v>
      </c>
      <c r="W14" s="14">
        <v>10653</v>
      </c>
      <c r="X14" s="14">
        <v>8992</v>
      </c>
      <c r="Y14" s="14">
        <v>9497</v>
      </c>
      <c r="Z14" s="14"/>
      <c r="AA14" s="14"/>
      <c r="AB14" s="14"/>
      <c r="AC14" s="14">
        <v>535</v>
      </c>
      <c r="AD14" s="14">
        <v>544</v>
      </c>
      <c r="AE14" s="14">
        <v>548</v>
      </c>
    </row>
    <row r="15" spans="1:31" x14ac:dyDescent="0.35">
      <c r="A15" s="11" t="s">
        <v>18</v>
      </c>
      <c r="B15" s="14">
        <v>14982</v>
      </c>
      <c r="C15" s="14">
        <v>12971</v>
      </c>
      <c r="D15" s="15"/>
      <c r="E15" s="14">
        <v>132733</v>
      </c>
      <c r="F15" s="14">
        <v>96334</v>
      </c>
      <c r="G15" s="15"/>
      <c r="H15" s="14">
        <v>143713</v>
      </c>
      <c r="I15" s="14">
        <v>162819</v>
      </c>
      <c r="J15" s="15"/>
      <c r="K15" s="14">
        <v>52008</v>
      </c>
      <c r="L15" s="14">
        <v>54761</v>
      </c>
      <c r="M15" s="15"/>
      <c r="N15" s="14">
        <v>5117.3999999999996</v>
      </c>
      <c r="O15" s="14">
        <v>4828.3999999999996</v>
      </c>
      <c r="P15" s="15"/>
      <c r="Q15" s="14">
        <v>121642</v>
      </c>
      <c r="R15" s="14">
        <v>102229</v>
      </c>
      <c r="S15" s="15"/>
      <c r="T15" s="14">
        <v>3579063</v>
      </c>
      <c r="U15" s="14">
        <v>2361413</v>
      </c>
      <c r="V15" s="15"/>
      <c r="W15" s="14">
        <v>20756</v>
      </c>
      <c r="X15" s="14">
        <v>12902</v>
      </c>
      <c r="Y15" s="15"/>
      <c r="Z15" s="14">
        <v>53718</v>
      </c>
      <c r="AA15" s="14">
        <v>42634</v>
      </c>
      <c r="AB15" s="15"/>
      <c r="AC15" s="14">
        <v>3275</v>
      </c>
      <c r="AD15" s="15">
        <v>3113</v>
      </c>
      <c r="AE15" s="15"/>
    </row>
    <row r="16" spans="1:31" x14ac:dyDescent="0.35">
      <c r="A16" s="11" t="s">
        <v>21</v>
      </c>
      <c r="B16" s="14">
        <v>47344</v>
      </c>
      <c r="C16" s="14">
        <v>44659</v>
      </c>
      <c r="D16" s="14">
        <v>36500</v>
      </c>
      <c r="E16" s="14">
        <v>321195</v>
      </c>
      <c r="F16" s="14">
        <v>225248</v>
      </c>
      <c r="G16" s="14">
        <v>162648</v>
      </c>
      <c r="H16" s="14">
        <v>323888</v>
      </c>
      <c r="I16" s="14">
        <v>338516</v>
      </c>
      <c r="J16" s="14">
        <v>365725</v>
      </c>
      <c r="K16" s="14">
        <v>525761</v>
      </c>
      <c r="L16" s="14">
        <v>551669</v>
      </c>
      <c r="M16" s="14">
        <v>531864</v>
      </c>
      <c r="N16" s="14">
        <v>18126</v>
      </c>
      <c r="O16" s="14">
        <v>20869.099999999999</v>
      </c>
      <c r="P16" s="14">
        <v>20074.5</v>
      </c>
      <c r="Q16" s="14">
        <v>152136</v>
      </c>
      <c r="R16" s="14">
        <v>133625</v>
      </c>
      <c r="S16" s="14">
        <v>117359</v>
      </c>
      <c r="T16" s="14">
        <v>9908282</v>
      </c>
      <c r="U16" s="14">
        <v>8109004</v>
      </c>
      <c r="V16" s="14">
        <v>8142292</v>
      </c>
      <c r="W16" s="14">
        <v>51248</v>
      </c>
      <c r="X16" s="14">
        <v>42779</v>
      </c>
      <c r="Y16" s="14">
        <v>41290</v>
      </c>
      <c r="Z16" s="14">
        <v>197289</v>
      </c>
      <c r="AA16" s="14">
        <v>173889</v>
      </c>
      <c r="AB16" s="14">
        <v>152221</v>
      </c>
      <c r="AC16" s="14">
        <v>53957</v>
      </c>
      <c r="AD16" s="14">
        <v>50448</v>
      </c>
      <c r="AE16" s="14">
        <v>45987</v>
      </c>
    </row>
    <row r="17" spans="1:31" x14ac:dyDescent="0.35">
      <c r="A17" s="11" t="s">
        <v>19</v>
      </c>
      <c r="B17" s="14">
        <v>7948</v>
      </c>
      <c r="C17" s="14">
        <v>9222</v>
      </c>
      <c r="D17" s="15"/>
      <c r="E17" s="14">
        <v>126385</v>
      </c>
      <c r="F17" s="14">
        <v>87812</v>
      </c>
      <c r="G17" s="15"/>
      <c r="H17" s="14">
        <v>105392</v>
      </c>
      <c r="I17" s="14">
        <v>105718</v>
      </c>
      <c r="J17" s="15"/>
      <c r="K17" s="14">
        <v>63438</v>
      </c>
      <c r="L17" s="14">
        <v>68911</v>
      </c>
      <c r="M17" s="15"/>
      <c r="N17" s="14">
        <v>2932.2</v>
      </c>
      <c r="O17" s="14">
        <v>3630.6</v>
      </c>
      <c r="P17" s="15"/>
      <c r="Q17" s="14">
        <v>87280</v>
      </c>
      <c r="R17" s="14">
        <v>97312</v>
      </c>
      <c r="S17" s="15"/>
      <c r="T17" s="14">
        <v>1503965</v>
      </c>
      <c r="U17" s="14">
        <v>1105049</v>
      </c>
      <c r="V17" s="15"/>
      <c r="W17" s="14">
        <v>20125</v>
      </c>
      <c r="X17" s="14">
        <v>14487</v>
      </c>
      <c r="Y17" s="15"/>
      <c r="Z17" s="14">
        <v>72420</v>
      </c>
      <c r="AA17" s="14">
        <v>61782</v>
      </c>
      <c r="AB17" s="15"/>
      <c r="AC17" s="14">
        <v>4239</v>
      </c>
      <c r="AD17" s="15">
        <v>4568</v>
      </c>
      <c r="AE17" s="15"/>
    </row>
    <row r="18" spans="1:31" x14ac:dyDescent="0.35">
      <c r="A18" s="11" t="s">
        <v>45</v>
      </c>
      <c r="B18" s="14">
        <f>806+17989</f>
        <v>18795</v>
      </c>
      <c r="C18" s="14">
        <f>2795+17518</f>
        <v>20313</v>
      </c>
      <c r="D18" s="15"/>
      <c r="E18" s="14">
        <v>31816</v>
      </c>
      <c r="F18" s="14">
        <v>23414</v>
      </c>
      <c r="G18" s="15"/>
      <c r="H18" s="14">
        <f>8773+98667</f>
        <v>107440</v>
      </c>
      <c r="I18" s="14">
        <f>10260+91807</f>
        <v>102067</v>
      </c>
      <c r="J18" s="15"/>
      <c r="K18" s="14">
        <f>3470+153775</f>
        <v>157245</v>
      </c>
      <c r="L18" s="14">
        <f>11838+151309</f>
        <v>163147</v>
      </c>
      <c r="M18" s="15"/>
      <c r="N18" s="14">
        <f>17.3+6669.3</f>
        <v>6686.6</v>
      </c>
      <c r="O18" s="14">
        <f>380.5+5973.1</f>
        <v>6353.6</v>
      </c>
      <c r="P18" s="15"/>
      <c r="Q18" s="14">
        <f>1693+61890</f>
        <v>63583</v>
      </c>
      <c r="R18" s="14">
        <f>7340+19962</f>
        <v>27302</v>
      </c>
      <c r="S18" s="15"/>
      <c r="T18" s="14">
        <f>1044936+258691</f>
        <v>1303627</v>
      </c>
      <c r="U18" s="14">
        <v>250000</v>
      </c>
      <c r="V18" s="15"/>
      <c r="W18" s="14">
        <f>11536+1144</f>
        <v>12680</v>
      </c>
      <c r="X18" s="14">
        <f>11338+161</f>
        <v>11499</v>
      </c>
      <c r="Y18" s="15"/>
      <c r="Z18" s="14">
        <f>38648+4819</f>
        <v>43467</v>
      </c>
      <c r="AA18" s="14">
        <f>36808+3870</f>
        <v>40678</v>
      </c>
      <c r="AB18" s="15"/>
      <c r="AC18" s="14">
        <f>19645+421+584</f>
        <v>20650</v>
      </c>
      <c r="AD18" s="15">
        <f>17407+702+595</f>
        <v>18704</v>
      </c>
      <c r="AE18" s="15"/>
    </row>
    <row r="19" spans="1:31" x14ac:dyDescent="0.35">
      <c r="A19" s="11" t="s">
        <v>20</v>
      </c>
      <c r="B19" s="14">
        <v>34413</v>
      </c>
      <c r="C19" s="14">
        <v>34533</v>
      </c>
      <c r="D19" s="14">
        <v>26652</v>
      </c>
      <c r="E19" s="14">
        <v>227791</v>
      </c>
      <c r="F19" s="14">
        <v>163188</v>
      </c>
      <c r="G19" s="14">
        <v>119099</v>
      </c>
      <c r="H19" s="14">
        <v>258549</v>
      </c>
      <c r="I19" s="14">
        <v>248028</v>
      </c>
      <c r="J19" s="14">
        <v>258578</v>
      </c>
      <c r="K19" s="14">
        <v>346521</v>
      </c>
      <c r="L19" s="14">
        <v>349735</v>
      </c>
      <c r="M19" s="14">
        <v>337980</v>
      </c>
      <c r="N19" s="14">
        <v>11924.5</v>
      </c>
      <c r="O19" s="14">
        <v>12143.3</v>
      </c>
      <c r="P19" s="14">
        <v>12020.9</v>
      </c>
      <c r="Q19" s="14">
        <v>170211</v>
      </c>
      <c r="R19" s="14">
        <v>141925</v>
      </c>
      <c r="S19" s="14">
        <v>116949</v>
      </c>
      <c r="T19" s="14">
        <f>T16-T20</f>
        <v>3477956</v>
      </c>
      <c r="U19" s="14">
        <f t="shared" ref="U19:V19" si="9">U16-U20</f>
        <v>2183469</v>
      </c>
      <c r="V19" s="14">
        <f t="shared" si="9"/>
        <v>2537474</v>
      </c>
      <c r="W19" s="14">
        <f>W16-W20</f>
        <v>36808</v>
      </c>
      <c r="X19" s="14">
        <f t="shared" ref="X19:Y19" si="10">X16-X20</f>
        <v>30946</v>
      </c>
      <c r="Y19" s="14">
        <f t="shared" si="10"/>
        <v>29993</v>
      </c>
      <c r="Z19" s="14">
        <v>126750</v>
      </c>
      <c r="AA19" s="14">
        <v>111727</v>
      </c>
      <c r="AB19" s="14">
        <v>95994</v>
      </c>
      <c r="AC19" s="14">
        <f t="shared" ref="AC19:AE19" si="11">AC16-AC20</f>
        <v>39382</v>
      </c>
      <c r="AD19" s="14">
        <f t="shared" si="11"/>
        <v>37209</v>
      </c>
      <c r="AE19" s="14">
        <f t="shared" si="11"/>
        <v>33765</v>
      </c>
    </row>
    <row r="20" spans="1:31" x14ac:dyDescent="0.35">
      <c r="A20" s="11" t="s">
        <v>14</v>
      </c>
      <c r="B20" s="15">
        <f>B16-B19</f>
        <v>12931</v>
      </c>
      <c r="C20" s="15">
        <f>C16-C19</f>
        <v>10126</v>
      </c>
      <c r="D20" s="15">
        <f>D16-D19</f>
        <v>9848</v>
      </c>
      <c r="E20" s="15">
        <f>E16-E19</f>
        <v>93404</v>
      </c>
      <c r="F20" s="15">
        <f t="shared" ref="F20:G20" si="12">F16-F19</f>
        <v>62060</v>
      </c>
      <c r="G20" s="15">
        <f t="shared" si="12"/>
        <v>43549</v>
      </c>
      <c r="H20" s="15">
        <f>H16-H19</f>
        <v>65339</v>
      </c>
      <c r="I20" s="15">
        <f t="shared" ref="I20" si="13">I16-I19</f>
        <v>90488</v>
      </c>
      <c r="J20" s="15">
        <f t="shared" ref="J20:M20" si="14">J16-J19</f>
        <v>107147</v>
      </c>
      <c r="K20" s="15">
        <f t="shared" si="14"/>
        <v>179240</v>
      </c>
      <c r="L20" s="15">
        <f t="shared" si="14"/>
        <v>201934</v>
      </c>
      <c r="M20" s="15">
        <f t="shared" si="14"/>
        <v>193884</v>
      </c>
      <c r="N20" s="15">
        <f t="shared" ref="N20" si="15">N16-N19</f>
        <v>6201.5</v>
      </c>
      <c r="O20" s="15">
        <f t="shared" ref="O20" si="16">O16-O19</f>
        <v>8725.7999999999993</v>
      </c>
      <c r="P20" s="15">
        <f t="shared" ref="P20" si="17">P16-P19</f>
        <v>8053.6</v>
      </c>
      <c r="Q20" s="15">
        <f t="shared" ref="Q20" si="18">Q16-Q19</f>
        <v>-18075</v>
      </c>
      <c r="R20" s="15">
        <f t="shared" ref="R20:S20" si="19">R16-R19</f>
        <v>-8300</v>
      </c>
      <c r="S20" s="15">
        <f t="shared" si="19"/>
        <v>410</v>
      </c>
      <c r="T20" s="15">
        <v>6430326</v>
      </c>
      <c r="U20" s="15">
        <v>5925535</v>
      </c>
      <c r="V20" s="15">
        <v>5604818</v>
      </c>
      <c r="W20" s="15">
        <v>14440</v>
      </c>
      <c r="X20" s="15">
        <v>11833</v>
      </c>
      <c r="Y20" s="15">
        <v>11297</v>
      </c>
      <c r="Z20" s="15">
        <f t="shared" ref="Z20" si="20">Z16-Z19</f>
        <v>70539</v>
      </c>
      <c r="AA20" s="15">
        <f t="shared" ref="AA20" si="21">AA16-AA19</f>
        <v>62162</v>
      </c>
      <c r="AB20" s="15">
        <f t="shared" ref="AB20" si="22">AB16-AB19</f>
        <v>56227</v>
      </c>
      <c r="AC20" s="15">
        <v>14575</v>
      </c>
      <c r="AD20" s="15">
        <v>13239</v>
      </c>
      <c r="AE20" s="15">
        <v>12222</v>
      </c>
    </row>
    <row r="21" spans="1:31" x14ac:dyDescent="0.35">
      <c r="A21" s="11" t="s">
        <v>42</v>
      </c>
      <c r="B21" s="18">
        <v>203.73</v>
      </c>
      <c r="C21" s="16"/>
      <c r="D21" s="19"/>
      <c r="E21" s="18">
        <v>3198.01</v>
      </c>
      <c r="F21" s="16"/>
      <c r="G21" s="19"/>
      <c r="H21" s="18">
        <v>125.9</v>
      </c>
      <c r="I21" s="16"/>
      <c r="J21" s="19"/>
      <c r="K21" s="18">
        <v>29.08</v>
      </c>
      <c r="L21" s="16"/>
      <c r="M21" s="19"/>
      <c r="N21" s="18">
        <v>212.96</v>
      </c>
      <c r="O21" s="16"/>
      <c r="P21" s="19"/>
      <c r="Q21" s="18">
        <v>252.66</v>
      </c>
      <c r="R21" s="16"/>
      <c r="S21" s="19"/>
      <c r="T21" s="18">
        <v>49.18</v>
      </c>
      <c r="U21" s="16"/>
      <c r="V21" s="19"/>
      <c r="W21" s="18">
        <v>230.89</v>
      </c>
      <c r="X21" s="16"/>
      <c r="Y21" s="19"/>
      <c r="Z21" s="18">
        <v>400.25</v>
      </c>
      <c r="AA21" s="16"/>
      <c r="AB21" s="19"/>
      <c r="AC21" s="18">
        <v>70.12</v>
      </c>
      <c r="AD21" s="16"/>
      <c r="AE21" s="19"/>
    </row>
    <row r="22" spans="1:31" x14ac:dyDescent="0.35">
      <c r="C22" s="20"/>
      <c r="D22" s="20"/>
      <c r="F22" s="20"/>
      <c r="G22" s="20"/>
    </row>
    <row r="23" spans="1:31" x14ac:dyDescent="0.35">
      <c r="K23" s="11" t="s">
        <v>49</v>
      </c>
      <c r="Q23" s="11" t="s">
        <v>51</v>
      </c>
      <c r="Z23" s="11" t="s">
        <v>52</v>
      </c>
    </row>
    <row r="24" spans="1:31" x14ac:dyDescent="0.35">
      <c r="B24" s="21"/>
      <c r="C24" s="20"/>
      <c r="D24" s="20"/>
      <c r="E24" s="21"/>
      <c r="F24" s="20"/>
      <c r="G24" s="20"/>
    </row>
    <row r="25" spans="1:31" x14ac:dyDescent="0.35">
      <c r="C25" s="20"/>
      <c r="D25" s="20"/>
      <c r="F25" s="20"/>
      <c r="G25" s="20"/>
    </row>
    <row r="26" spans="1:31" x14ac:dyDescent="0.35">
      <c r="C26" s="20"/>
      <c r="D26" s="20"/>
      <c r="F26" s="20"/>
      <c r="G26" s="20"/>
    </row>
    <row r="27" spans="1:31" x14ac:dyDescent="0.35">
      <c r="C27" s="20"/>
      <c r="D27" s="20"/>
      <c r="F27" s="20"/>
      <c r="G27" s="20"/>
    </row>
    <row r="28" spans="1:31" x14ac:dyDescent="0.35">
      <c r="C28" s="20"/>
      <c r="D28" s="20"/>
      <c r="F28" s="20"/>
      <c r="G28" s="20"/>
    </row>
    <row r="29" spans="1:31" x14ac:dyDescent="0.35">
      <c r="C29" s="20"/>
      <c r="D29" s="20"/>
      <c r="F29" s="20"/>
      <c r="G29" s="20"/>
    </row>
    <row r="30" spans="1:31" x14ac:dyDescent="0.35">
      <c r="C30" s="20"/>
      <c r="D30" s="20"/>
      <c r="F30" s="20"/>
      <c r="G30" s="20"/>
    </row>
  </sheetData>
  <printOptions gridLines="1"/>
  <pageMargins left="0.45" right="0.45" top="0.75" bottom="0.75" header="0.3" footer="0.3"/>
  <pageSetup scale="1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F789C-F71E-427B-B9A4-B45451C767CF}">
  <dimension ref="A1:E20"/>
  <sheetViews>
    <sheetView workbookViewId="0">
      <selection activeCell="K9" sqref="K9"/>
    </sheetView>
  </sheetViews>
  <sheetFormatPr defaultRowHeight="14.5" x14ac:dyDescent="0.35"/>
  <cols>
    <col min="1" max="1" width="21.36328125" bestFit="1" customWidth="1"/>
    <col min="2" max="4" width="7.6328125" bestFit="1" customWidth="1"/>
    <col min="5" max="5" width="11.90625" bestFit="1" customWidth="1"/>
  </cols>
  <sheetData>
    <row r="1" spans="1:5" x14ac:dyDescent="0.35">
      <c r="A1" s="24"/>
      <c r="B1" s="24">
        <v>2012</v>
      </c>
      <c r="C1" s="24">
        <v>2013</v>
      </c>
      <c r="D1" s="24">
        <v>2014</v>
      </c>
      <c r="E1" s="24" t="s">
        <v>59</v>
      </c>
    </row>
    <row r="2" spans="1:5" x14ac:dyDescent="0.35">
      <c r="A2" s="24" t="s">
        <v>60</v>
      </c>
      <c r="B2" s="32">
        <v>61093</v>
      </c>
      <c r="C2" s="32">
        <v>74452</v>
      </c>
      <c r="D2" s="32">
        <v>88988</v>
      </c>
      <c r="E2" s="32">
        <v>386064</v>
      </c>
    </row>
    <row r="3" spans="1:5" x14ac:dyDescent="0.35">
      <c r="A3" s="24" t="s">
        <v>61</v>
      </c>
      <c r="B3" s="32">
        <v>45971</v>
      </c>
      <c r="C3" s="32">
        <v>54181</v>
      </c>
      <c r="D3" s="32">
        <v>62752</v>
      </c>
      <c r="E3" s="32">
        <v>233307</v>
      </c>
    </row>
    <row r="4" spans="1:5" x14ac:dyDescent="0.35">
      <c r="A4" s="24" t="s">
        <v>62</v>
      </c>
      <c r="B4" s="32">
        <v>6419</v>
      </c>
      <c r="C4" s="32">
        <v>8585</v>
      </c>
      <c r="D4" s="32">
        <v>10766</v>
      </c>
      <c r="E4" s="32">
        <v>58517</v>
      </c>
    </row>
    <row r="5" spans="1:5" x14ac:dyDescent="0.35">
      <c r="A5" s="24" t="s">
        <v>63</v>
      </c>
      <c r="B5" s="32">
        <v>2408</v>
      </c>
      <c r="C5" s="32">
        <v>3133</v>
      </c>
      <c r="D5" s="32">
        <v>4332</v>
      </c>
      <c r="E5" s="32">
        <v>22008</v>
      </c>
    </row>
    <row r="6" spans="1:5" x14ac:dyDescent="0.35">
      <c r="A6" s="24" t="s">
        <v>38</v>
      </c>
      <c r="B6" s="32">
        <v>4564</v>
      </c>
      <c r="C6" s="32">
        <v>6565</v>
      </c>
      <c r="D6" s="32">
        <v>9275</v>
      </c>
      <c r="E6" s="32">
        <v>42740</v>
      </c>
    </row>
    <row r="7" spans="1:5" x14ac:dyDescent="0.35">
      <c r="A7" s="24" t="s">
        <v>64</v>
      </c>
      <c r="B7" s="32">
        <v>896</v>
      </c>
      <c r="C7" s="32">
        <v>1129</v>
      </c>
      <c r="D7" s="32">
        <v>1552</v>
      </c>
      <c r="E7" s="32">
        <v>6668</v>
      </c>
    </row>
    <row r="8" spans="1:5" x14ac:dyDescent="0.35">
      <c r="A8" s="24" t="s">
        <v>65</v>
      </c>
      <c r="B8" s="32">
        <v>159</v>
      </c>
      <c r="C8" s="32">
        <v>114</v>
      </c>
      <c r="D8" s="32">
        <v>133</v>
      </c>
      <c r="E8" s="32">
        <v>-75</v>
      </c>
    </row>
    <row r="9" spans="1:5" x14ac:dyDescent="0.35">
      <c r="A9" s="24" t="s">
        <v>66</v>
      </c>
      <c r="B9" s="32">
        <v>676</v>
      </c>
      <c r="C9" s="32">
        <v>745</v>
      </c>
      <c r="D9" s="32">
        <v>178</v>
      </c>
      <c r="E9" s="32">
        <v>22899</v>
      </c>
    </row>
    <row r="10" spans="1:5" x14ac:dyDescent="0.35">
      <c r="A10" s="24" t="s">
        <v>67</v>
      </c>
      <c r="B10" s="32">
        <v>-39</v>
      </c>
      <c r="C10" s="32">
        <v>274</v>
      </c>
      <c r="D10" s="32">
        <v>-241</v>
      </c>
      <c r="E10" s="32">
        <v>21331</v>
      </c>
    </row>
    <row r="11" spans="1:5" x14ac:dyDescent="0.35">
      <c r="A11" s="24"/>
      <c r="B11" s="24"/>
      <c r="C11" s="24"/>
      <c r="D11" s="24"/>
      <c r="E11" s="24"/>
    </row>
    <row r="12" spans="1:5" x14ac:dyDescent="0.35">
      <c r="A12" s="24" t="s">
        <v>60</v>
      </c>
      <c r="B12" s="33">
        <f>B2/B$2</f>
        <v>1</v>
      </c>
      <c r="C12" s="33">
        <f t="shared" ref="C12:E12" si="0">C2/C$2</f>
        <v>1</v>
      </c>
      <c r="D12" s="33">
        <f t="shared" si="0"/>
        <v>1</v>
      </c>
      <c r="E12" s="33">
        <f t="shared" si="0"/>
        <v>1</v>
      </c>
    </row>
    <row r="13" spans="1:5" x14ac:dyDescent="0.35">
      <c r="A13" s="24" t="s">
        <v>61</v>
      </c>
      <c r="B13" s="33">
        <f t="shared" ref="B13:E13" si="1">B3/B$2</f>
        <v>0.75247573371744714</v>
      </c>
      <c r="C13" s="33">
        <f t="shared" si="1"/>
        <v>0.72773061838499975</v>
      </c>
      <c r="D13" s="33">
        <f t="shared" si="1"/>
        <v>0.70517373128961214</v>
      </c>
      <c r="E13" s="33">
        <f t="shared" si="1"/>
        <v>0.60432208131294296</v>
      </c>
    </row>
    <row r="14" spans="1:5" x14ac:dyDescent="0.35">
      <c r="A14" s="24" t="s">
        <v>62</v>
      </c>
      <c r="B14" s="33">
        <f t="shared" ref="B14:E14" si="2">B4/B$2</f>
        <v>0.10506932054408852</v>
      </c>
      <c r="C14" s="33">
        <f t="shared" si="2"/>
        <v>0.11530919249986568</v>
      </c>
      <c r="D14" s="33">
        <f t="shared" si="2"/>
        <v>0.12098260439609836</v>
      </c>
      <c r="E14" s="33">
        <f t="shared" si="2"/>
        <v>0.15157331426913673</v>
      </c>
    </row>
    <row r="15" spans="1:5" x14ac:dyDescent="0.35">
      <c r="A15" s="24" t="s">
        <v>63</v>
      </c>
      <c r="B15" s="33">
        <f t="shared" ref="B15:E15" si="3">B5/B$2</f>
        <v>3.9415317630497763E-2</v>
      </c>
      <c r="C15" s="33">
        <f t="shared" si="3"/>
        <v>4.2080803739321979E-2</v>
      </c>
      <c r="D15" s="33">
        <f t="shared" si="3"/>
        <v>4.8680720996089361E-2</v>
      </c>
      <c r="E15" s="33">
        <f t="shared" si="3"/>
        <v>5.7006092254134028E-2</v>
      </c>
    </row>
    <row r="16" spans="1:5" x14ac:dyDescent="0.35">
      <c r="A16" s="24" t="s">
        <v>38</v>
      </c>
      <c r="B16" s="33">
        <f t="shared" ref="B16:E16" si="4">B6/B$2</f>
        <v>7.4705776439199248E-2</v>
      </c>
      <c r="C16" s="33">
        <f t="shared" si="4"/>
        <v>8.8177617794014937E-2</v>
      </c>
      <c r="D16" s="33">
        <f t="shared" si="4"/>
        <v>0.10422753629702881</v>
      </c>
      <c r="E16" s="33">
        <f t="shared" si="4"/>
        <v>0.11070703303079282</v>
      </c>
    </row>
    <row r="17" spans="1:5" x14ac:dyDescent="0.35">
      <c r="A17" s="24" t="s">
        <v>64</v>
      </c>
      <c r="B17" s="33">
        <f t="shared" ref="B17:E17" si="5">B7/B$2</f>
        <v>1.4666164699720098E-2</v>
      </c>
      <c r="C17" s="33">
        <f t="shared" si="5"/>
        <v>1.5164132595497771E-2</v>
      </c>
      <c r="D17" s="33">
        <f t="shared" si="5"/>
        <v>1.7440553782532477E-2</v>
      </c>
      <c r="E17" s="33">
        <f t="shared" si="5"/>
        <v>1.7271747689502258E-2</v>
      </c>
    </row>
    <row r="18" spans="1:5" x14ac:dyDescent="0.35">
      <c r="A18" s="24" t="s">
        <v>65</v>
      </c>
      <c r="B18" s="33">
        <f t="shared" ref="B18:E18" si="6">B8/B$2</f>
        <v>2.6025894947047943E-3</v>
      </c>
      <c r="C18" s="33">
        <f t="shared" si="6"/>
        <v>1.5311878794391017E-3</v>
      </c>
      <c r="D18" s="33">
        <f t="shared" si="6"/>
        <v>1.4945835393536206E-3</v>
      </c>
      <c r="E18" s="33">
        <f t="shared" si="6"/>
        <v>-1.9426830784533136E-4</v>
      </c>
    </row>
    <row r="19" spans="1:5" x14ac:dyDescent="0.35">
      <c r="A19" s="24" t="s">
        <v>66</v>
      </c>
      <c r="B19" s="33">
        <f t="shared" ref="B19:E19" si="7">B9/B$2</f>
        <v>1.1065097474342396E-2</v>
      </c>
      <c r="C19" s="33">
        <f t="shared" si="7"/>
        <v>1.0006447106860796E-2</v>
      </c>
      <c r="D19" s="33">
        <f t="shared" si="7"/>
        <v>2.000269699285297E-3</v>
      </c>
      <c r="E19" s="33">
        <f t="shared" si="7"/>
        <v>5.9313999751336569E-2</v>
      </c>
    </row>
    <row r="20" spans="1:5" x14ac:dyDescent="0.35">
      <c r="A20" s="24" t="s">
        <v>67</v>
      </c>
      <c r="B20" s="33">
        <f t="shared" ref="B20:E20" si="8">B10/B$2</f>
        <v>-6.3837100813513828E-4</v>
      </c>
      <c r="C20" s="33">
        <f t="shared" si="8"/>
        <v>3.6802234997045076E-3</v>
      </c>
      <c r="D20" s="33">
        <f t="shared" si="8"/>
        <v>-2.7082303231896437E-3</v>
      </c>
      <c r="E20" s="33">
        <f t="shared" si="8"/>
        <v>5.5252496995316841E-2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Quick Calculator</vt:lpstr>
      <vt:lpstr>2020</vt:lpstr>
      <vt:lpstr>2019 and 2020 Summary</vt:lpstr>
      <vt:lpstr>Ratios</vt:lpstr>
      <vt:lpstr>Data</vt:lpstr>
      <vt:lpstr>Final Example</vt:lpstr>
    </vt:vector>
  </TitlesOfParts>
  <Company>Pentair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Bostrom, Boz</cp:lastModifiedBy>
  <cp:lastPrinted>2018-10-11T03:06:32Z</cp:lastPrinted>
  <dcterms:created xsi:type="dcterms:W3CDTF">2015-12-07T18:08:32Z</dcterms:created>
  <dcterms:modified xsi:type="dcterms:W3CDTF">2021-06-08T07:16:02Z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